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ouglas Lightfoot\Documents\AWORK\FOSSFUEL\IPCC 2007\Energy &amp; Environment 2024\Water vapor paper and Excel for 50+ greenhouse gases\"/>
    </mc:Choice>
  </mc:AlternateContent>
  <xr:revisionPtr revIDLastSave="0" documentId="13_ncr:1_{2122F041-DE9D-4624-A593-0E51D43A66B1}" xr6:coauthVersionLast="47" xr6:coauthVersionMax="47" xr10:uidLastSave="{00000000-0000-0000-0000-000000000000}"/>
  <bookViews>
    <workbookView xWindow="-120" yWindow="-120" windowWidth="29040" windowHeight="15840" firstSheet="3" activeTab="4" xr2:uid="{00000000-000D-0000-FFFF-FFFF00000000}"/>
  </bookViews>
  <sheets>
    <sheet name="T vs Weight WV" sheetId="31" r:id="rId1"/>
    <sheet name="T vs WV " sheetId="30" r:id="rId2"/>
    <sheet name="T vs HumRat" sheetId="26" r:id="rId3"/>
    <sheet name="Sheet 1" sheetId="8" r:id="rId4"/>
    <sheet name="Sheet 2" sheetId="40" r:id="rId5"/>
  </sheets>
  <definedNames>
    <definedName name="_xlnm._FilterDatabase" localSheetId="3" hidden="1">'Sheet 1'!#REF!</definedName>
    <definedName name="_xlnm.Print_Area" localSheetId="3">'Sheet 1'!$AG$3:$AO$24</definedName>
  </definedNames>
  <calcPr calcId="191029"/>
</workbook>
</file>

<file path=xl/calcChain.xml><?xml version="1.0" encoding="utf-8"?>
<calcChain xmlns="http://schemas.openxmlformats.org/spreadsheetml/2006/main">
  <c r="I48" i="40" l="1"/>
  <c r="I47" i="40"/>
  <c r="I45" i="40"/>
  <c r="I44" i="40"/>
  <c r="I43" i="40"/>
  <c r="I42" i="40"/>
  <c r="I39" i="40"/>
  <c r="I38" i="40"/>
  <c r="I37" i="40"/>
  <c r="I36" i="40"/>
  <c r="I35" i="40"/>
  <c r="I34" i="40"/>
  <c r="I33" i="40"/>
  <c r="I32" i="40"/>
  <c r="I31" i="40"/>
  <c r="I30" i="40"/>
  <c r="I23" i="40"/>
  <c r="I22" i="40"/>
  <c r="I21" i="40"/>
  <c r="I20" i="40"/>
  <c r="I19" i="40"/>
  <c r="I18" i="40"/>
  <c r="I17" i="40"/>
  <c r="I16" i="40"/>
  <c r="I15" i="40"/>
  <c r="I14" i="40"/>
  <c r="I13" i="40"/>
  <c r="I12" i="40"/>
  <c r="I11" i="40"/>
  <c r="I10" i="40"/>
  <c r="H48" i="40"/>
  <c r="H47" i="40"/>
  <c r="H45" i="40"/>
  <c r="H44" i="40"/>
  <c r="H43" i="40"/>
  <c r="H42" i="40"/>
  <c r="H39" i="40"/>
  <c r="H38" i="40"/>
  <c r="H37" i="40"/>
  <c r="H36" i="40"/>
  <c r="H35" i="40"/>
  <c r="H34" i="40"/>
  <c r="H33" i="40"/>
  <c r="H32" i="40"/>
  <c r="H31" i="40"/>
  <c r="H30" i="40"/>
  <c r="H23" i="40"/>
  <c r="H22" i="40"/>
  <c r="H21" i="40"/>
  <c r="H20" i="40"/>
  <c r="H19" i="40"/>
  <c r="H18" i="40"/>
  <c r="H17" i="40"/>
  <c r="H16" i="40"/>
  <c r="H15" i="40"/>
  <c r="H14" i="40"/>
  <c r="H13" i="40"/>
  <c r="H12" i="40"/>
  <c r="H11" i="40"/>
  <c r="H10" i="40"/>
  <c r="I7" i="40"/>
  <c r="I6" i="40"/>
  <c r="G48" i="40"/>
  <c r="G47" i="40"/>
  <c r="G45" i="40"/>
  <c r="G44" i="40"/>
  <c r="G43" i="40"/>
  <c r="G42" i="40"/>
  <c r="G40" i="40"/>
  <c r="G39" i="40"/>
  <c r="G38" i="40"/>
  <c r="G37" i="40"/>
  <c r="G36" i="40"/>
  <c r="G35" i="40"/>
  <c r="G34" i="40"/>
  <c r="G33" i="40"/>
  <c r="G32" i="40"/>
  <c r="G31" i="40"/>
  <c r="G30" i="40"/>
  <c r="G23" i="40"/>
  <c r="G22" i="40"/>
  <c r="G21" i="40"/>
  <c r="G20" i="40"/>
  <c r="G19" i="40"/>
  <c r="G18" i="40"/>
  <c r="G17" i="40"/>
  <c r="G16" i="40"/>
  <c r="G15" i="40"/>
  <c r="G14" i="40"/>
  <c r="G13" i="40"/>
  <c r="G12" i="40"/>
  <c r="G11" i="40"/>
  <c r="G10" i="40"/>
  <c r="J43" i="40"/>
  <c r="J45" i="40"/>
  <c r="J44" i="40"/>
  <c r="K19" i="40"/>
  <c r="J19" i="40"/>
  <c r="L19" i="40"/>
  <c r="M19" i="40" s="1"/>
  <c r="P19" i="40" s="1"/>
  <c r="R19" i="40" s="1"/>
  <c r="K42" i="40"/>
  <c r="K39" i="40"/>
  <c r="K38" i="40"/>
  <c r="K37" i="40"/>
  <c r="K36" i="40"/>
  <c r="K35" i="40"/>
  <c r="K34" i="40"/>
  <c r="K33" i="40"/>
  <c r="K32" i="40"/>
  <c r="K31" i="40"/>
  <c r="K30" i="40"/>
  <c r="J39" i="40"/>
  <c r="J38" i="40"/>
  <c r="J37" i="40"/>
  <c r="J36" i="40"/>
  <c r="J35" i="40"/>
  <c r="J34" i="40"/>
  <c r="J33" i="40"/>
  <c r="J32" i="40"/>
  <c r="J31" i="40"/>
  <c r="J30" i="40"/>
  <c r="K8" i="40"/>
  <c r="L8" i="40" s="1"/>
  <c r="M8" i="40" s="1"/>
  <c r="P8" i="40" s="1"/>
  <c r="R8" i="40" s="1"/>
  <c r="K7" i="40"/>
  <c r="L7" i="40" s="1"/>
  <c r="M7" i="40" s="1"/>
  <c r="P7" i="40" s="1"/>
  <c r="R7" i="40" s="1"/>
  <c r="K6" i="40"/>
  <c r="L6" i="40" s="1"/>
  <c r="M6" i="40" s="1"/>
  <c r="P6" i="40" s="1"/>
  <c r="R6" i="40" s="1"/>
  <c r="K22" i="40"/>
  <c r="K21" i="40"/>
  <c r="K20" i="40"/>
  <c r="K18" i="40"/>
  <c r="K17" i="40"/>
  <c r="K16" i="40"/>
  <c r="K15" i="40"/>
  <c r="K14" i="40"/>
  <c r="K13" i="40"/>
  <c r="K12" i="40"/>
  <c r="K11" i="40"/>
  <c r="K10" i="40"/>
  <c r="J22" i="40"/>
  <c r="J21" i="40"/>
  <c r="J20" i="40"/>
  <c r="J18" i="40"/>
  <c r="J17" i="40"/>
  <c r="J16" i="40"/>
  <c r="J15" i="40"/>
  <c r="J14" i="40"/>
  <c r="J13" i="40"/>
  <c r="J12" i="40"/>
  <c r="J11" i="40"/>
  <c r="Y19" i="8"/>
  <c r="Y14" i="8"/>
  <c r="AI14" i="8"/>
  <c r="L22" i="8"/>
  <c r="M22" i="8" s="1"/>
  <c r="AV19" i="8"/>
  <c r="AW19" i="8" s="1"/>
  <c r="AX19" i="8" s="1"/>
  <c r="AR19" i="8"/>
  <c r="AM19" i="8"/>
  <c r="AN19" i="8" s="1"/>
  <c r="AE19" i="8"/>
  <c r="AD19" i="8"/>
  <c r="L19" i="8"/>
  <c r="M19" i="8" s="1"/>
  <c r="L13" i="8"/>
  <c r="AV16" i="8"/>
  <c r="AW16" i="8" s="1"/>
  <c r="AX16" i="8" s="1"/>
  <c r="AV15" i="8"/>
  <c r="AW15" i="8" s="1"/>
  <c r="AX15" i="8" s="1"/>
  <c r="AV14" i="8"/>
  <c r="AW14" i="8" s="1"/>
  <c r="AX14" i="8" s="1"/>
  <c r="AM16" i="8"/>
  <c r="AN16" i="8" s="1"/>
  <c r="AM15" i="8"/>
  <c r="AN15" i="8" s="1"/>
  <c r="AM14" i="8"/>
  <c r="AN14" i="8" s="1"/>
  <c r="AD16" i="8"/>
  <c r="AE16" i="8" s="1"/>
  <c r="AD15" i="8"/>
  <c r="AE15" i="8" s="1"/>
  <c r="AD14" i="8"/>
  <c r="AR16" i="8"/>
  <c r="AR15" i="8"/>
  <c r="AR14" i="8"/>
  <c r="T22" i="8"/>
  <c r="O22" i="8"/>
  <c r="O19" i="8"/>
  <c r="X19" i="8"/>
  <c r="T19" i="8"/>
  <c r="L42" i="40" l="1"/>
  <c r="M42" i="40" s="1"/>
  <c r="P42" i="40" s="1"/>
  <c r="R42" i="40" s="1"/>
  <c r="L30" i="40"/>
  <c r="M30" i="40" s="1"/>
  <c r="P30" i="40" s="1"/>
  <c r="R30" i="40" s="1"/>
  <c r="L36" i="40"/>
  <c r="M36" i="40" s="1"/>
  <c r="P36" i="40" s="1"/>
  <c r="R36" i="40" s="1"/>
  <c r="L31" i="40"/>
  <c r="M31" i="40" s="1"/>
  <c r="P31" i="40" s="1"/>
  <c r="R31" i="40" s="1"/>
  <c r="L37" i="40"/>
  <c r="M37" i="40" s="1"/>
  <c r="P37" i="40" s="1"/>
  <c r="R37" i="40" s="1"/>
  <c r="L33" i="40"/>
  <c r="M33" i="40" s="1"/>
  <c r="P33" i="40" s="1"/>
  <c r="R33" i="40" s="1"/>
  <c r="L39" i="40"/>
  <c r="M39" i="40" s="1"/>
  <c r="P39" i="40" s="1"/>
  <c r="R39" i="40" s="1"/>
  <c r="L32" i="40"/>
  <c r="M32" i="40" s="1"/>
  <c r="P32" i="40" s="1"/>
  <c r="R32" i="40" s="1"/>
  <c r="L38" i="40"/>
  <c r="M38" i="40" s="1"/>
  <c r="P38" i="40" s="1"/>
  <c r="R38" i="40" s="1"/>
  <c r="L34" i="40"/>
  <c r="M34" i="40" s="1"/>
  <c r="P34" i="40" s="1"/>
  <c r="R34" i="40" s="1"/>
  <c r="L35" i="40"/>
  <c r="M35" i="40" s="1"/>
  <c r="P35" i="40" s="1"/>
  <c r="R35" i="40" s="1"/>
  <c r="L18" i="40"/>
  <c r="M18" i="40" s="1"/>
  <c r="P18" i="40" s="1"/>
  <c r="R18" i="40" s="1"/>
  <c r="L13" i="40"/>
  <c r="M13" i="40" s="1"/>
  <c r="P13" i="40" s="1"/>
  <c r="R13" i="40" s="1"/>
  <c r="L17" i="40"/>
  <c r="M17" i="40" s="1"/>
  <c r="P17" i="40" s="1"/>
  <c r="R17" i="40" s="1"/>
  <c r="L10" i="40"/>
  <c r="M10" i="40" s="1"/>
  <c r="P10" i="40" s="1"/>
  <c r="R10" i="40" s="1"/>
  <c r="L21" i="40"/>
  <c r="M21" i="40" s="1"/>
  <c r="P21" i="40" s="1"/>
  <c r="R21" i="40" s="1"/>
  <c r="L11" i="40"/>
  <c r="M11" i="40" s="1"/>
  <c r="P11" i="40" s="1"/>
  <c r="R11" i="40" s="1"/>
  <c r="L15" i="40"/>
  <c r="M15" i="40" s="1"/>
  <c r="P15" i="40" s="1"/>
  <c r="R15" i="40" s="1"/>
  <c r="L22" i="40"/>
  <c r="M22" i="40" s="1"/>
  <c r="P22" i="40" s="1"/>
  <c r="R22" i="40" s="1"/>
  <c r="L20" i="40"/>
  <c r="M20" i="40" s="1"/>
  <c r="P20" i="40" s="1"/>
  <c r="R20" i="40" s="1"/>
  <c r="L14" i="40"/>
  <c r="M14" i="40" s="1"/>
  <c r="P14" i="40" s="1"/>
  <c r="R14" i="40" s="1"/>
  <c r="L12" i="40"/>
  <c r="M12" i="40" s="1"/>
  <c r="P12" i="40" s="1"/>
  <c r="R12" i="40" s="1"/>
  <c r="L16" i="40"/>
  <c r="M16" i="40" s="1"/>
  <c r="P16" i="40" s="1"/>
  <c r="R16" i="40" s="1"/>
  <c r="P22" i="8"/>
  <c r="Z19" i="8"/>
  <c r="AC19" i="8" s="1"/>
  <c r="AF19" i="8" s="1"/>
  <c r="AI19" i="8"/>
  <c r="AL19" i="8" s="1"/>
  <c r="AO19" i="8" s="1"/>
  <c r="P19" i="8"/>
  <c r="AE14" i="8"/>
  <c r="L16" i="8"/>
  <c r="M16" i="8" s="1"/>
  <c r="L15" i="8"/>
  <c r="M15" i="8" s="1"/>
  <c r="L14" i="8"/>
  <c r="M14" i="8" s="1"/>
  <c r="T16" i="8"/>
  <c r="X16" i="8"/>
  <c r="O16" i="8"/>
  <c r="T15" i="8"/>
  <c r="O15" i="8"/>
  <c r="X15" i="8"/>
  <c r="T14" i="8"/>
  <c r="O14" i="8"/>
  <c r="X14" i="8"/>
  <c r="R75" i="40" l="1"/>
  <c r="AZ19" i="8"/>
  <c r="P16" i="8"/>
  <c r="P15" i="8"/>
  <c r="P14" i="8"/>
  <c r="M13" i="8" l="1"/>
  <c r="T13" i="8"/>
  <c r="X13" i="8"/>
  <c r="O13" i="8"/>
  <c r="AI16" i="8" l="1"/>
  <c r="AL16" i="8" s="1"/>
  <c r="AI15" i="8"/>
  <c r="AL15" i="8" s="1"/>
  <c r="AO15" i="8" s="1"/>
  <c r="Y16" i="8"/>
  <c r="Y15" i="8"/>
  <c r="Z14" i="8"/>
  <c r="P13" i="8"/>
  <c r="AC14" i="8" l="1"/>
  <c r="AF14" i="8" s="1"/>
  <c r="AL64" i="8" s="1"/>
  <c r="AO16" i="8"/>
  <c r="AL14" i="8"/>
  <c r="AO14" i="8" s="1"/>
  <c r="Z15" i="8"/>
  <c r="AC15" i="8" s="1"/>
  <c r="AF15" i="8" s="1"/>
  <c r="AL65" i="8" s="1"/>
  <c r="Z16" i="8"/>
  <c r="AC16" i="8" s="1"/>
  <c r="AJ65" i="8" l="1"/>
  <c r="AZ14" i="8"/>
  <c r="AJ64" i="8"/>
  <c r="AZ15" i="8"/>
  <c r="AF16" i="8"/>
  <c r="AL66" i="8" s="1"/>
  <c r="AJ66" i="8" l="1"/>
  <c r="AZ16" i="8"/>
</calcChain>
</file>

<file path=xl/sharedStrings.xml><?xml version="1.0" encoding="utf-8"?>
<sst xmlns="http://schemas.openxmlformats.org/spreadsheetml/2006/main" count="555" uniqueCount="329">
  <si>
    <t>Local</t>
  </si>
  <si>
    <t>Pressure</t>
  </si>
  <si>
    <t>Latitude</t>
  </si>
  <si>
    <t>Longitude</t>
  </si>
  <si>
    <t>Date</t>
  </si>
  <si>
    <t>Time</t>
  </si>
  <si>
    <t>Pascals</t>
  </si>
  <si>
    <t>Bar</t>
  </si>
  <si>
    <t>Code</t>
  </si>
  <si>
    <t>Pond Inlet, Canada</t>
  </si>
  <si>
    <t>W</t>
  </si>
  <si>
    <t>Above Arctic Circle</t>
  </si>
  <si>
    <t>Mid-latitudes North</t>
  </si>
  <si>
    <t>Water</t>
  </si>
  <si>
    <t>Excel spreadsheet prepared by H. D. Lightfoot</t>
  </si>
  <si>
    <t>Current weather</t>
  </si>
  <si>
    <t>grams/kg</t>
  </si>
  <si>
    <t>dry air</t>
  </si>
  <si>
    <t>Cloudy</t>
  </si>
  <si>
    <t>Humidair</t>
  </si>
  <si>
    <t>enthalpy</t>
  </si>
  <si>
    <t>Hm</t>
  </si>
  <si>
    <t>Cubic m/</t>
  </si>
  <si>
    <t>kg dry air</t>
  </si>
  <si>
    <t>Va</t>
  </si>
  <si>
    <t>meters</t>
  </si>
  <si>
    <t>ppm</t>
  </si>
  <si>
    <t>ΔT</t>
  </si>
  <si>
    <t>Specific</t>
  </si>
  <si>
    <t>CO2</t>
  </si>
  <si>
    <t>volume</t>
  </si>
  <si>
    <t>Amsterdam</t>
  </si>
  <si>
    <t>Princeton, NJ</t>
  </si>
  <si>
    <t>Colorado Springs, CO</t>
  </si>
  <si>
    <t>cloudy</t>
  </si>
  <si>
    <t>Light rain</t>
  </si>
  <si>
    <t>kJ/oC</t>
  </si>
  <si>
    <t>Total</t>
  </si>
  <si>
    <t>52° 22'N</t>
  </si>
  <si>
    <t>4° 53' E</t>
  </si>
  <si>
    <t>38° 50' N</t>
  </si>
  <si>
    <t>104° 49' W</t>
  </si>
  <si>
    <t>40°21 N</t>
  </si>
  <si>
    <t xml:space="preserve"> 74°39' W</t>
  </si>
  <si>
    <t>Weather station</t>
  </si>
  <si>
    <r>
      <t>72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 xml:space="preserve"> 42' N</t>
    </r>
  </si>
  <si>
    <r>
      <t>77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 xml:space="preserve"> 58' W</t>
    </r>
  </si>
  <si>
    <t>CH4</t>
  </si>
  <si>
    <t>N2O</t>
  </si>
  <si>
    <t>heat</t>
  </si>
  <si>
    <t xml:space="preserve">Specific </t>
  </si>
  <si>
    <t>Δ</t>
  </si>
  <si>
    <t>Heat</t>
  </si>
  <si>
    <t>Content, kJ</t>
  </si>
  <si>
    <t>Enthalpy</t>
  </si>
  <si>
    <t>oC</t>
  </si>
  <si>
    <t>Water vapor</t>
  </si>
  <si>
    <t>kg/kg dry air</t>
  </si>
  <si>
    <t>Carbon dioxide, CO2</t>
  </si>
  <si>
    <t>Methane, CH4</t>
  </si>
  <si>
    <t>Nitrous oxide, N2O</t>
  </si>
  <si>
    <t>between</t>
  </si>
  <si>
    <t>locations</t>
  </si>
  <si>
    <t>contribution</t>
  </si>
  <si>
    <t>to temp.</t>
  </si>
  <si>
    <t>rise</t>
  </si>
  <si>
    <t>J/kgK</t>
  </si>
  <si>
    <r>
      <rPr>
        <sz val="11"/>
        <color theme="1"/>
        <rFont val="Calibri"/>
        <family val="2"/>
        <scheme val="minor"/>
      </rPr>
      <t xml:space="preserve">To the reader: If you do not have Humidair, some numbers might not be available. The missing numbers are in </t>
    </r>
    <r>
      <rPr>
        <b/>
        <sz val="11"/>
        <color rgb="FF0070C0"/>
        <rFont val="Calibri"/>
        <family val="2"/>
        <scheme val="minor"/>
      </rPr>
      <t>blue</t>
    </r>
    <r>
      <rPr>
        <sz val="11"/>
        <color theme="1"/>
        <rFont val="Calibri"/>
        <family val="2"/>
        <scheme val="minor"/>
      </rPr>
      <t>.</t>
    </r>
  </si>
  <si>
    <t>RH, %</t>
  </si>
  <si>
    <t>Elevation</t>
  </si>
  <si>
    <t>by CO2</t>
  </si>
  <si>
    <t>Increase</t>
  </si>
  <si>
    <t>by CH4</t>
  </si>
  <si>
    <t>by N2O</t>
  </si>
  <si>
    <t>Colorado Springs</t>
  </si>
  <si>
    <t>Details of the Excel calculations to help the reader</t>
  </si>
  <si>
    <t>A</t>
  </si>
  <si>
    <t>Weather station number</t>
  </si>
  <si>
    <t>B</t>
  </si>
  <si>
    <t xml:space="preserve">Location of the weather station </t>
  </si>
  <si>
    <t>C</t>
  </si>
  <si>
    <t>Weather station name</t>
  </si>
  <si>
    <t>D</t>
  </si>
  <si>
    <t>Weather station latitude</t>
  </si>
  <si>
    <t>E</t>
  </si>
  <si>
    <t>Weather station longitude</t>
  </si>
  <si>
    <t>F</t>
  </si>
  <si>
    <t>G</t>
  </si>
  <si>
    <t>H</t>
  </si>
  <si>
    <t>I</t>
  </si>
  <si>
    <t>Relative humidity, %</t>
  </si>
  <si>
    <t>J</t>
  </si>
  <si>
    <t>Weather at the time of recording the temperature and RH</t>
  </si>
  <si>
    <t>K</t>
  </si>
  <si>
    <t>Elevation of the weather station, meters</t>
  </si>
  <si>
    <t>L</t>
  </si>
  <si>
    <t>Pressure in pascals: =+((101325*(1-(2.25577*10^-5)*(K12))^5.25588)). Formula from: https://www.engineeringtoolbox.com/air-altitude-pressure-d_462.html</t>
  </si>
  <si>
    <t>M</t>
  </si>
  <si>
    <t>N</t>
  </si>
  <si>
    <t>O</t>
  </si>
  <si>
    <t>P</t>
  </si>
  <si>
    <t>Grams water vapor per kg of dry air</t>
  </si>
  <si>
    <t>Q</t>
  </si>
  <si>
    <t>S</t>
  </si>
  <si>
    <t>T</t>
  </si>
  <si>
    <t>Moist air enthalpy, kilojoules</t>
  </si>
  <si>
    <t xml:space="preserve">U </t>
  </si>
  <si>
    <t>Same as column T</t>
  </si>
  <si>
    <t>Same as column P</t>
  </si>
  <si>
    <t>X</t>
  </si>
  <si>
    <t>HumidairTdbRHPsi(H12, I12,M12,W12). This is the setup for the Humidair program to give specific volume as cubic meters per kg of dry air</t>
  </si>
  <si>
    <t>Y</t>
  </si>
  <si>
    <t>Z</t>
  </si>
  <si>
    <t>Grams of CO2 per kg of dry air = =+(Y12/1000000)*(44*(1000/29)). 44 is the molecular weight of CO2 and 29 is the molecular weight of dry air.</t>
  </si>
  <si>
    <t>AA</t>
  </si>
  <si>
    <t>AB</t>
  </si>
  <si>
    <t>AC</t>
  </si>
  <si>
    <t>AD</t>
  </si>
  <si>
    <t>Enthalpy between Pond Inlet and the weather station of interest.</t>
  </si>
  <si>
    <t>AE</t>
  </si>
  <si>
    <t>AF</t>
  </si>
  <si>
    <t>Contribution of CO2 to the temperature rise, +AC13/AE13</t>
  </si>
  <si>
    <t>AH</t>
  </si>
  <si>
    <t>Specific volume, cubic meters per kg of dry air</t>
  </si>
  <si>
    <t>AI</t>
  </si>
  <si>
    <t>Methane grams/kg of dry air</t>
  </si>
  <si>
    <t>AJ</t>
  </si>
  <si>
    <t>Specific heat of methane, CH4, Joules/kgK</t>
  </si>
  <si>
    <t>AK</t>
  </si>
  <si>
    <r>
      <t xml:space="preserve">Difference in temperature between Pond Inlet and the waether station of interest, </t>
    </r>
    <r>
      <rPr>
        <sz val="11"/>
        <rFont val="Calibri"/>
        <family val="2"/>
      </rPr>
      <t>ΔT</t>
    </r>
  </si>
  <si>
    <t>AL</t>
  </si>
  <si>
    <t>Methane heat content, kJ</t>
  </si>
  <si>
    <t>AM</t>
  </si>
  <si>
    <t>AN</t>
  </si>
  <si>
    <t>AO</t>
  </si>
  <si>
    <t>Contribution of CH4 to the temperature rise, =+AL13/AN13</t>
  </si>
  <si>
    <t>AR</t>
  </si>
  <si>
    <t>Nitrous oxide grams per kg of dry air</t>
  </si>
  <si>
    <t>AS</t>
  </si>
  <si>
    <t>Specific heat, K/kgK</t>
  </si>
  <si>
    <t>AT</t>
  </si>
  <si>
    <t>AU</t>
  </si>
  <si>
    <t>AW</t>
  </si>
  <si>
    <t>Nitrous oxide heat content, kJ</t>
  </si>
  <si>
    <t>AX</t>
  </si>
  <si>
    <t>AZ</t>
  </si>
  <si>
    <t>Total contibution of all three gases to temperature rise</t>
  </si>
  <si>
    <t>% of CO2</t>
  </si>
  <si>
    <t>Temperature</t>
  </si>
  <si>
    <t>Calculation of temperature increase by methane and nitrous oxide as a percentage of the increase by CO2:</t>
  </si>
  <si>
    <t>This Excel spreadsheet was developed with the Humidair psychrometric program behind it.</t>
  </si>
  <si>
    <t>All times start at Montreal Eastern time</t>
  </si>
  <si>
    <t>to temperature</t>
  </si>
  <si>
    <t>Column and description</t>
  </si>
  <si>
    <t>The level of CO2 was 422.3 ppm when the temperatures and relative humidity for the eight weather station locations were recorded in the Excel spreadsheet on December 30, 2023.</t>
  </si>
  <si>
    <t>specific</t>
  </si>
  <si>
    <t>kJ per</t>
  </si>
  <si>
    <t>Weather station Location</t>
  </si>
  <si>
    <t>Date of temperature and relative humidity recorded</t>
  </si>
  <si>
    <t>Local time of temperature and relative humidity recorded</t>
  </si>
  <si>
    <r>
      <t xml:space="preserve">Temp, 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>C</t>
    </r>
  </si>
  <si>
    <r>
      <t xml:space="preserve">Local temperature, </t>
    </r>
    <r>
      <rPr>
        <vertAlign val="superscript"/>
        <sz val="11"/>
        <rFont val="Calibri"/>
        <family val="2"/>
        <scheme val="minor"/>
      </rPr>
      <t>o</t>
    </r>
    <r>
      <rPr>
        <sz val="11"/>
        <rFont val="Calibri"/>
        <family val="2"/>
        <scheme val="minor"/>
      </rPr>
      <t>C</t>
    </r>
  </si>
  <si>
    <t>Presure in bar = Pascals/100000. The value in bar is required for the Humidair program</t>
  </si>
  <si>
    <t>The Humidair code "W" for kg of water vapor per kg of dry air</t>
  </si>
  <si>
    <t>HumidairTdbRHPsi(H12, I12,M12,N12). This is the setup for the Humidair program to give kilograms (kg) of water vapor per kg of dry air</t>
  </si>
  <si>
    <t>Humidair code "Hm" for moist air enthalpy</t>
  </si>
  <si>
    <t>moist air</t>
  </si>
  <si>
    <t>Humidair code "Va" for specific volume</t>
  </si>
  <si>
    <t xml:space="preserve">Measured CO2 = 418.06 ppm. Calculated CO2 = 418.06 x the ratio of specific volumes = X12/X13. </t>
  </si>
  <si>
    <r>
      <t>Specific heat of CO2 at 15</t>
    </r>
    <r>
      <rPr>
        <vertAlign val="superscript"/>
        <sz val="11"/>
        <rFont val="Calibri"/>
        <family val="2"/>
        <scheme val="minor"/>
      </rPr>
      <t>o</t>
    </r>
    <r>
      <rPr>
        <sz val="11"/>
        <rFont val="Calibri"/>
        <family val="2"/>
        <scheme val="minor"/>
      </rPr>
      <t>C.</t>
    </r>
  </si>
  <si>
    <t>Difference in temperature between Pond Inlet and the weather station of interest, ΔT</t>
  </si>
  <si>
    <t>CO2 heat content: Z13 x AA13 x AB13 kilojoules</t>
  </si>
  <si>
    <t>locations, kJ</t>
  </si>
  <si>
    <r>
      <t>kJ/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>C</t>
    </r>
  </si>
  <si>
    <t>AQ</t>
  </si>
  <si>
    <t>AV</t>
  </si>
  <si>
    <t>Enthlapy between locations, kJ</t>
  </si>
  <si>
    <t>kJ</t>
  </si>
  <si>
    <t>Kilojoules per degree Celsius between Pond inlet and the weather station of interest, =+AD13/AB13</t>
  </si>
  <si>
    <t>Contribution of N2O to the temperature rise =+AU13/AW13</t>
  </si>
  <si>
    <t>The level of CO2 used in Table 2 of this study is 418.06 ppm, the average level in August 2023. The slight difference of 4.24 ppm has no significant effect on the results.</t>
  </si>
  <si>
    <t>kilojoules per degree Celsius between locations</t>
  </si>
  <si>
    <r>
      <t>E</t>
    </r>
    <r>
      <rPr>
        <b/>
        <sz val="11"/>
        <color theme="1"/>
        <rFont val="Calibri"/>
        <family val="2"/>
        <scheme val="minor"/>
      </rPr>
      <t>xcel calculations for greenhouse gases.</t>
    </r>
  </si>
  <si>
    <t>Sulfur hexafluoride, SF6</t>
  </si>
  <si>
    <r>
      <t xml:space="preserve">Specific </t>
    </r>
    <r>
      <rPr>
        <b/>
        <sz val="11"/>
        <color theme="1"/>
        <rFont val="Calibri"/>
        <family val="2"/>
        <scheme val="minor"/>
      </rPr>
      <t>Heat</t>
    </r>
    <r>
      <rPr>
        <sz val="11"/>
        <color theme="1"/>
        <rFont val="Calibri"/>
        <family val="2"/>
        <scheme val="minor"/>
      </rPr>
      <t xml:space="preserve">: </t>
    </r>
    <r>
      <rPr>
        <b/>
        <sz val="11"/>
        <color theme="1"/>
        <rFont val="Calibri"/>
        <family val="2"/>
        <scheme val="minor"/>
      </rPr>
      <t>96.6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j</t>
    </r>
    <r>
      <rPr>
        <sz val="11"/>
        <color theme="1"/>
        <rFont val="Calibri"/>
        <family val="2"/>
        <scheme val="minor"/>
      </rPr>
      <t>/mole K:</t>
    </r>
  </si>
  <si>
    <t>Name</t>
  </si>
  <si>
    <t>Formula</t>
  </si>
  <si>
    <t>Methane</t>
  </si>
  <si>
    <t>SF6</t>
  </si>
  <si>
    <t>CFC-11</t>
  </si>
  <si>
    <t>Carbon dioxide</t>
  </si>
  <si>
    <r>
      <t>CCl</t>
    </r>
    <r>
      <rPr>
        <vertAlign val="sub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F</t>
    </r>
  </si>
  <si>
    <t>CFC-12</t>
  </si>
  <si>
    <r>
      <t>CCl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F</t>
    </r>
    <r>
      <rPr>
        <vertAlign val="subscript"/>
        <sz val="11"/>
        <color theme="1"/>
        <rFont val="Calibri"/>
        <family val="2"/>
        <scheme val="minor"/>
      </rPr>
      <t>2</t>
    </r>
  </si>
  <si>
    <t>Amount</t>
  </si>
  <si>
    <t>418 ppm</t>
  </si>
  <si>
    <t>CFC-13</t>
  </si>
  <si>
    <t>CClF3</t>
  </si>
  <si>
    <t>https://www.ncei.noaa.gov/access/ocean-carbon-acidification-data-system/oceans/new_atmCFC.html</t>
  </si>
  <si>
    <t>CCl4</t>
  </si>
  <si>
    <t>CFC 114</t>
  </si>
  <si>
    <t>CFC-113</t>
  </si>
  <si>
    <t>ppt</t>
  </si>
  <si>
    <t>https://ca.search.yahoo.com/search;_ylt=AwrEmwSzxzNmHgQAMvLrFAx.;_ylc=X1MDMjExNDcyMTAwMwRfcgMyBGZyA3lmcC10BGZyMgNzYi10b3AEZ3ByaWQDb3pYVkltOTVTT0dxb2NhNkpZWWRtQQRuX3JzbHQDMARuX3N1Z2cDMARvcmlnaW4DY2Euc2VhcmNoLnlhaG9vLmNvbQRwb3MDMARwcXN0cgMEcHFzdHJsAzAEcXN0cmwDNDAEcXVlcnkDaG93JTIwbXVjaCUyMENGQy0xMyUyMGlzJTIwaW4lMjB0aGUlMjBhdG1vc3BoZXJlJTIwcHBtBHRfc3RtcAMxNzE0NjcwNDI1?p=how+much+CFC-13+is+in+the+atmosphere+ppm&amp;fp=1&amp;fr=yfp-t&amp;fr2=sb-top&amp;iscqry=</t>
  </si>
  <si>
    <r>
      <t>CCl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FC</t>
    </r>
  </si>
  <si>
    <t>CClF2CF3</t>
  </si>
  <si>
    <t>https://ca.search.yahoo.com/search;_ylt=AwrFEOtYyzNmVQQAAgDrFAx.;_ylc=X1MDMjExNDcyMTAwMwRfcgMyBGZyA3lmcC10BGZyMgNzYi10b3AEZ3ByaWQDWWRudjY5T3NUWG0zMUNBVzEud1RhQQRuX3JzbHQDMARuX3N1Z2cDMARvcmlnaW4DY2Euc2VhcmNoLnlhaG9vLmNvbQRwb3MDMARwcXN0cgMEcHFzdHJsAzAEcXN0cmwDNDEEcXVlcnkDaG93JTIwbXVjaCUyMENGQyUyMDExNCUyMGlzJTIwaW4lMjB0aGUlMjBhdG1vc3BoZXJlJTIwcHBtBHRfc3RtcAMxNzE0NjcwNjQ4?p=how+much+CFC+114+is+in+the+atmosphere+ppm&amp;fp=1&amp;fr=yfp-t&amp;fr2=sb-top&amp;iscqry=</t>
  </si>
  <si>
    <t>CFC-115</t>
  </si>
  <si>
    <t>https://ca.search.yahoo.com/search;_ylt=AwrijsQ4zDNmTAQA0oTrFAx.;_ylc=X1MDMjExNDcyMTAwMwRfcgMyBGZyA3lmcC10BGZyMgNzYi10b3AEZ3ByaWQDY1RxZkU4UWJTa2ltZ0wwaG10V1VQQQRuX3JzbHQDMARuX3N1Z2cDMARvcmlnaW4DY2Euc2VhcmNoLnlhaG9vLmNvbQRwb3MDMARwcXN0cgMEcHFzdHJsAzAEcXN0cmwDNDEEcXVlcnkDaG93JTIwbXVjaCUyMENGQyUyMDExNSUyMGlzJTIwaW4lMjB0aGUlMjBhdG1vc3BoZXJlJTIwcHBtBHRfc3RtcAMxNzE0NjcwNzgw?p=how+much+CFC+115+is+in+the+atmosphere+ppm&amp;fp=1&amp;fr=yfp-t&amp;fr2=sb-top&amp;iscqry=</t>
  </si>
  <si>
    <t>?</t>
  </si>
  <si>
    <t>CBrF3</t>
  </si>
  <si>
    <t>Halon 1301</t>
  </si>
  <si>
    <t>https://gml.noaa.gov/hats/gases/halon1301.html</t>
  </si>
  <si>
    <t>Halon 1211</t>
  </si>
  <si>
    <t>CBrClF2</t>
  </si>
  <si>
    <t>https://gml.noaa.gov/hats/about/halon.html</t>
  </si>
  <si>
    <t>Halon 2402</t>
  </si>
  <si>
    <t>CBrF2CBrF2</t>
  </si>
  <si>
    <t>https://gml.noaa.gov/hats/gases/halon2402.html</t>
  </si>
  <si>
    <t>Methyl bromide</t>
  </si>
  <si>
    <t>CH3Br</t>
  </si>
  <si>
    <t>https://agupubs.onlinelibrary.wiley.com/doi/10.1029/2021JD035567</t>
  </si>
  <si>
    <t>Methyl chloroform</t>
  </si>
  <si>
    <t>CH3CCl3</t>
  </si>
  <si>
    <t>https://en.wikipedia.org/wiki/1,1,1-Trichloroethane#/media/File:CH3CCl3_mm.png</t>
  </si>
  <si>
    <t>HCFC-22</t>
  </si>
  <si>
    <t>CHClF2</t>
  </si>
  <si>
    <t>pptv</t>
  </si>
  <si>
    <t>2009-2019</t>
  </si>
  <si>
    <t>https://amt.copernicus.org/preprints/amt-2020-348/amt-2020-348-manuscript-version5.pdf#:~:text=10%20225%20pptv%20%28CFC-11%29%2C%20493,pptv%20%28CFC-12%29%2C%20and%20238%20pptv%20%28HCFC-22%29.</t>
  </si>
  <si>
    <t>HCFC-123</t>
  </si>
  <si>
    <t>CHCl2CF3</t>
  </si>
  <si>
    <t>The current contribution of HCFC-123 to stratospheric reactive chlorine is too small to be measurable.</t>
  </si>
  <si>
    <t>HCFC-124</t>
  </si>
  <si>
    <t>CHClFCF3</t>
  </si>
  <si>
    <t>HFC-23</t>
  </si>
  <si>
    <t>https://www.fluorocarbons.org/environment/climate-change/atmospheric-concentrations/</t>
  </si>
  <si>
    <t>CHF3</t>
  </si>
  <si>
    <t>HFC-32</t>
  </si>
  <si>
    <t>CH2F2</t>
  </si>
  <si>
    <t>HFC-125</t>
  </si>
  <si>
    <t>HFC134a</t>
  </si>
  <si>
    <t>CH2FCF3</t>
  </si>
  <si>
    <t>CHF2CF3</t>
  </si>
  <si>
    <t>HFC-143a</t>
  </si>
  <si>
    <t>CH3CF3</t>
  </si>
  <si>
    <t>HFC-152a</t>
  </si>
  <si>
    <t>CH3CHF2</t>
  </si>
  <si>
    <t>HFC-227ea</t>
  </si>
  <si>
    <t>CF3CHFCF3</t>
  </si>
  <si>
    <t>HFC-236fa</t>
  </si>
  <si>
    <t>HFC-245fa</t>
  </si>
  <si>
    <t>CF2CH2CF3</t>
  </si>
  <si>
    <t>CHF2CH2CF3</t>
  </si>
  <si>
    <t>HFC-365mfc</t>
  </si>
  <si>
    <t>CH3CF2CH2CF3</t>
  </si>
  <si>
    <t>HFC-43-10mee</t>
  </si>
  <si>
    <t>Nitrogen fluoride</t>
  </si>
  <si>
    <t>NF3</t>
  </si>
  <si>
    <t>https://agage.mit.edu/research-highlights/nitrogen-trifluoride-global-atmosphere-0</t>
  </si>
  <si>
    <t>PFC-14</t>
  </si>
  <si>
    <t>CF4</t>
  </si>
  <si>
    <t>https://en.wikipedia.org/wiki/Carbon_tetrafluoride#/media/File:Mauna_Loa_Tetrafluoromethane.jpg</t>
  </si>
  <si>
    <t>PFC-116</t>
  </si>
  <si>
    <t>C2F6</t>
  </si>
  <si>
    <t>https://gml.noaa.gov/hats/gases/PFC116.html</t>
  </si>
  <si>
    <t>PFC-218</t>
  </si>
  <si>
    <t>https://www.researchgate.net/publication/252217386_Cyclo-octafluorobutane_PFC318_in_the_global_atmosphere</t>
  </si>
  <si>
    <t>PFC-318</t>
  </si>
  <si>
    <t>https://acp.copernicus.org/preprints/acp-2019-267/acp-2019-267-manuscript-version4.pdf</t>
  </si>
  <si>
    <t>PFC-3-1-10</t>
  </si>
  <si>
    <t>PFC-4-1-12</t>
  </si>
  <si>
    <t>PFC-5-1-14</t>
  </si>
  <si>
    <t>PDC-9-1-18</t>
  </si>
  <si>
    <t>trifluoromethyl sulfur pentafluoride</t>
  </si>
  <si>
    <t>HFE-125</t>
  </si>
  <si>
    <t>molecular</t>
  </si>
  <si>
    <t>Weight</t>
  </si>
  <si>
    <t xml:space="preserve">Moles per </t>
  </si>
  <si>
    <t>mole dry air</t>
  </si>
  <si>
    <t>Grams per</t>
  </si>
  <si>
    <t>kg of dry air</t>
  </si>
  <si>
    <t>kilojoules</t>
  </si>
  <si>
    <t>kj/oC</t>
  </si>
  <si>
    <t>Contribution</t>
  </si>
  <si>
    <t>Nitrous oxide</t>
  </si>
  <si>
    <t>Source</t>
  </si>
  <si>
    <t>HFE-134</t>
  </si>
  <si>
    <t>HCFE-143a</t>
  </si>
  <si>
    <t>HCFE-235da2</t>
  </si>
  <si>
    <t>HFE-245cb2</t>
  </si>
  <si>
    <t>HFE-254cb2</t>
  </si>
  <si>
    <t>HFE-347moc3</t>
  </si>
  <si>
    <t>HFE-356poc3</t>
  </si>
  <si>
    <t>HFE-449sl (HFE-7100)</t>
  </si>
  <si>
    <t>HFE-569sf2 (HFE-7200)</t>
  </si>
  <si>
    <t>HFE-43-10pocc124 (H-Galden 1040x)</t>
  </si>
  <si>
    <t>HFE-236ca12 (HG-10)</t>
  </si>
  <si>
    <t>HFE-338pcc13 (HG-01)</t>
  </si>
  <si>
    <t>PFPMIE</t>
  </si>
  <si>
    <t>Dimethyl ether</t>
  </si>
  <si>
    <t>Methyl chloride</t>
  </si>
  <si>
    <t>Carbon Tetrachloride</t>
  </si>
  <si>
    <t>HCFC-141b</t>
  </si>
  <si>
    <t>HCFC-142b</t>
  </si>
  <si>
    <t>HCFC-225ca</t>
  </si>
  <si>
    <t>HCFC-225cb</t>
  </si>
  <si>
    <t>Sulfur hexfluoride</t>
  </si>
  <si>
    <t>CH3CCL2F</t>
  </si>
  <si>
    <t>CH3CCLF2</t>
  </si>
  <si>
    <t>CHCL2CF2CF3</t>
  </si>
  <si>
    <t>CHCLFCF2CCLF2</t>
  </si>
  <si>
    <t>-</t>
  </si>
  <si>
    <t>https://www.sciencedirect.com/topics/earth-and-planetary-sciences/methyl-chloride</t>
  </si>
  <si>
    <t>Total contribution</t>
  </si>
  <si>
    <t>Methylene chloride</t>
  </si>
  <si>
    <t>Calculation of the contribution of the GHGs in Table 2.14 of AR4</t>
  </si>
  <si>
    <t>Substances controlled by the Montreal Protocol</t>
  </si>
  <si>
    <t>Hydrofluorcarbons</t>
  </si>
  <si>
    <t>Perfluorated compounds</t>
  </si>
  <si>
    <t>Fluorinated ethers</t>
  </si>
  <si>
    <t>Perfluorpolyethers</t>
  </si>
  <si>
    <t>Hydrocarbons and other compounds</t>
  </si>
  <si>
    <t xml:space="preserve">                  </t>
  </si>
  <si>
    <t xml:space="preserve">     </t>
  </si>
  <si>
    <r>
      <t>https://www.pmel.noaa.gov/cfc/sulfur-hexafluoride-sf6</t>
    </r>
    <r>
      <rPr>
        <sz val="11"/>
        <rFont val="Calibri"/>
        <family val="2"/>
        <scheme val="minor"/>
      </rPr>
      <t xml:space="preserve"> and https://link.springer.com/chapter/10.1007/978-1-4613-0673-3_53</t>
    </r>
  </si>
  <si>
    <t>Fiel: Excel calculations for greenhouse gases in Table 2.14 of AR4 Rev 3.xlsx</t>
  </si>
  <si>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>C</t>
    </r>
  </si>
  <si>
    <t>File: Excel calculations for greenhouse gases in Table 2.14 of AR4 Rev 3.xlsx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</si>
</sst>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2">
    <numFmt numFmtId="43" formatCode="_-* #,##0.00_-;\-* #,##0.00_-;_-* &quot;-&quot;??_-;_-@_-"/>
    <numFmt numFmtId="164" formatCode="0.0"/>
    <numFmt numFmtId="165" formatCode="0.000000"/>
    <numFmt numFmtId="166" formatCode="[$-409]d/mmm;@"/>
    <numFmt numFmtId="167" formatCode="0.000"/>
    <numFmt numFmtId="168" formatCode="0.0000"/>
    <numFmt numFmtId="169" formatCode="_-* #,##0.0000000_-;\-* #,##0.0000000_-;_-* &quot;-&quot;??_-;_-@_-"/>
    <numFmt numFmtId="170" formatCode="0.0000000"/>
    <numFmt numFmtId="171" formatCode="hh:mm"/>
    <numFmt numFmtId="172" formatCode="_-* #,##0.00000000_-;\-* #,##0.00000000_-;_-* &quot;-&quot;??_-;_-@_-"/>
    <numFmt numFmtId="173" formatCode="0.00000000"/>
    <numFmt numFmtId="174" formatCode="0.000%"/>
    <numFmt numFmtId="176" formatCode="_-* #,##0.000000000_-;\-* #,##0.000000000_-;_-* &quot;-&quot;??_-;_-@_-"/>
    <numFmt numFmtId="177" formatCode="_-* #,##0.0000000000_-;\-* #,##0.0000000000_-;_-* &quot;-&quot;??_-;_-@_-"/>
    <numFmt numFmtId="179" formatCode="_-* #,##0.00000_-;\-* #,##0.00000_-;_-* &quot;-&quot;??_-;_-@_-"/>
    <numFmt numFmtId="180" formatCode="_-* #,##0.0000000000000000_-;\-* #,##0.0000000000000000_-;_-* &quot;-&quot;??_-;_-@_-"/>
    <numFmt numFmtId="184" formatCode="_-* #,##0.0000000000000_-;\-* #,##0.0000000000000_-;_-* &quot;-&quot;??_-;_-@_-"/>
    <numFmt numFmtId="187" formatCode="_-* #,##0.00000000000000000_-;\-* #,##0.00000000000000000_-;_-* &quot;-&quot;??_-;_-@_-"/>
    <numFmt numFmtId="188" formatCode="_-* #,##0.000000000000000000_-;\-* #,##0.000000000000000000_-;_-* &quot;-&quot;??_-;_-@_-"/>
    <numFmt numFmtId="189" formatCode="_-* #,##0.0000000000000000000_-;\-* #,##0.0000000000000000000_-;_-* &quot;-&quot;??_-;_-@_-"/>
    <numFmt numFmtId="190" formatCode="_-* #,##0.00000000000000000000_-;\-* #,##0.00000000000000000000_-;_-* &quot;-&quot;??_-;_-@_-"/>
    <numFmt numFmtId="192" formatCode="_-* #,##0.0000000000000000000000_-;\-* #,##0.0000000000000000000000_-;_-* &quot;-&quot;??_-;_-@_-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00B0F0"/>
      <name val="Calibri"/>
      <family val="2"/>
      <scheme val="minor"/>
    </font>
    <font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</font>
    <font>
      <vertAlign val="superscript"/>
      <sz val="1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5" fillId="0" borderId="0" applyNumberFormat="0" applyFill="0" applyBorder="0" applyAlignment="0" applyProtection="0"/>
  </cellStyleXfs>
  <cellXfs count="14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horizontal="center"/>
    </xf>
    <xf numFmtId="0" fontId="0" fillId="0" borderId="1" xfId="0" applyBorder="1"/>
    <xf numFmtId="17" fontId="0" fillId="0" borderId="0" xfId="0" applyNumberFormat="1" applyAlignment="1">
      <alignment horizontal="center"/>
    </xf>
    <xf numFmtId="0" fontId="2" fillId="0" borderId="0" xfId="0" applyFont="1" applyAlignment="1">
      <alignment horizont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/>
    <xf numFmtId="0" fontId="0" fillId="0" borderId="5" xfId="0" applyBorder="1" applyAlignment="1">
      <alignment horizontal="center"/>
    </xf>
    <xf numFmtId="0" fontId="0" fillId="0" borderId="6" xfId="0" applyBorder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2" fillId="0" borderId="1" xfId="0" applyFont="1" applyBorder="1" applyAlignment="1">
      <alignment horizontal="center"/>
    </xf>
    <xf numFmtId="164" fontId="0" fillId="0" borderId="0" xfId="0" applyNumberFormat="1" applyAlignment="1">
      <alignment horizontal="center"/>
    </xf>
    <xf numFmtId="0" fontId="3" fillId="0" borderId="0" xfId="0" applyFont="1"/>
    <xf numFmtId="0" fontId="0" fillId="0" borderId="8" xfId="0" applyBorder="1"/>
    <xf numFmtId="0" fontId="0" fillId="0" borderId="8" xfId="0" applyBorder="1" applyAlignment="1">
      <alignment horizontal="center"/>
    </xf>
    <xf numFmtId="16" fontId="5" fillId="0" borderId="0" xfId="0" applyNumberFormat="1" applyFont="1"/>
    <xf numFmtId="0" fontId="0" fillId="0" borderId="7" xfId="0" applyBorder="1"/>
    <xf numFmtId="167" fontId="0" fillId="0" borderId="2" xfId="0" applyNumberFormat="1" applyBorder="1" applyAlignment="1">
      <alignment horizontal="center"/>
    </xf>
    <xf numFmtId="167" fontId="0" fillId="0" borderId="0" xfId="0" applyNumberFormat="1" applyAlignment="1">
      <alignment horizontal="center"/>
    </xf>
    <xf numFmtId="0" fontId="7" fillId="0" borderId="0" xfId="0" applyFont="1" applyAlignment="1">
      <alignment horizontal="center"/>
    </xf>
    <xf numFmtId="0" fontId="0" fillId="0" borderId="0" xfId="0" applyAlignment="1">
      <alignment horizontal="right"/>
    </xf>
    <xf numFmtId="164" fontId="0" fillId="0" borderId="2" xfId="0" applyNumberFormat="1" applyBorder="1" applyAlignment="1">
      <alignment horizontal="center"/>
    </xf>
    <xf numFmtId="167" fontId="0" fillId="0" borderId="5" xfId="0" applyNumberFormat="1" applyBorder="1" applyAlignment="1">
      <alignment horizontal="center"/>
    </xf>
    <xf numFmtId="169" fontId="0" fillId="0" borderId="0" xfId="1" applyNumberFormat="1" applyFont="1"/>
    <xf numFmtId="0" fontId="0" fillId="0" borderId="0" xfId="0" applyAlignment="1">
      <alignment horizontal="left"/>
    </xf>
    <xf numFmtId="166" fontId="0" fillId="0" borderId="0" xfId="0" applyNumberFormat="1" applyAlignment="1">
      <alignment horizontal="center"/>
    </xf>
    <xf numFmtId="20" fontId="0" fillId="0" borderId="0" xfId="0" applyNumberFormat="1" applyAlignment="1">
      <alignment horizontal="center"/>
    </xf>
    <xf numFmtId="0" fontId="1" fillId="0" borderId="0" xfId="0" applyFont="1" applyAlignment="1">
      <alignment horizontal="center"/>
    </xf>
    <xf numFmtId="18" fontId="0" fillId="0" borderId="0" xfId="0" applyNumberFormat="1"/>
    <xf numFmtId="167" fontId="1" fillId="0" borderId="0" xfId="0" applyNumberFormat="1" applyFont="1" applyAlignment="1">
      <alignment horizontal="center"/>
    </xf>
    <xf numFmtId="167" fontId="7" fillId="0" borderId="0" xfId="0" applyNumberFormat="1" applyFont="1" applyAlignment="1">
      <alignment horizontal="center"/>
    </xf>
    <xf numFmtId="1" fontId="0" fillId="0" borderId="0" xfId="0" applyNumberFormat="1" applyAlignment="1">
      <alignment horizontal="center" vertical="center"/>
    </xf>
    <xf numFmtId="166" fontId="0" fillId="0" borderId="2" xfId="0" applyNumberFormat="1" applyBorder="1" applyAlignment="1">
      <alignment horizontal="center"/>
    </xf>
    <xf numFmtId="1" fontId="0" fillId="0" borderId="2" xfId="0" applyNumberFormat="1" applyBorder="1" applyAlignment="1">
      <alignment horizontal="center" vertical="center"/>
    </xf>
    <xf numFmtId="164" fontId="0" fillId="0" borderId="5" xfId="0" applyNumberFormat="1" applyBorder="1" applyAlignment="1">
      <alignment horizontal="center"/>
    </xf>
    <xf numFmtId="16" fontId="0" fillId="0" borderId="2" xfId="0" applyNumberFormat="1" applyBorder="1" applyAlignment="1">
      <alignment horizontal="center"/>
    </xf>
    <xf numFmtId="171" fontId="0" fillId="0" borderId="2" xfId="0" applyNumberForma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4" xfId="0" applyBorder="1"/>
    <xf numFmtId="20" fontId="0" fillId="0" borderId="2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1" fillId="0" borderId="8" xfId="0" applyFont="1" applyBorder="1"/>
    <xf numFmtId="0" fontId="1" fillId="0" borderId="9" xfId="0" applyFont="1" applyBorder="1"/>
    <xf numFmtId="167" fontId="1" fillId="0" borderId="5" xfId="0" applyNumberFormat="1" applyFont="1" applyBorder="1" applyAlignment="1">
      <alignment horizontal="center"/>
    </xf>
    <xf numFmtId="167" fontId="0" fillId="0" borderId="0" xfId="0" applyNumberFormat="1"/>
    <xf numFmtId="167" fontId="10" fillId="0" borderId="2" xfId="0" applyNumberFormat="1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164" fontId="10" fillId="0" borderId="2" xfId="0" applyNumberFormat="1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1" xfId="0" applyBorder="1"/>
    <xf numFmtId="0" fontId="0" fillId="0" borderId="10" xfId="0" applyBorder="1"/>
    <xf numFmtId="167" fontId="0" fillId="0" borderId="10" xfId="0" applyNumberFormat="1" applyBorder="1" applyAlignment="1">
      <alignment horizontal="center"/>
    </xf>
    <xf numFmtId="167" fontId="0" fillId="0" borderId="7" xfId="0" applyNumberFormat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9" fontId="0" fillId="0" borderId="2" xfId="1" applyNumberFormat="1" applyFont="1" applyBorder="1"/>
    <xf numFmtId="168" fontId="0" fillId="0" borderId="2" xfId="0" applyNumberFormat="1" applyBorder="1" applyAlignment="1">
      <alignment horizontal="center"/>
    </xf>
    <xf numFmtId="170" fontId="0" fillId="0" borderId="2" xfId="0" applyNumberFormat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12" xfId="0" applyBorder="1"/>
    <xf numFmtId="0" fontId="0" fillId="0" borderId="13" xfId="0" applyBorder="1"/>
    <xf numFmtId="0" fontId="4" fillId="0" borderId="8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0" fillId="0" borderId="14" xfId="0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0" fillId="0" borderId="10" xfId="0" applyBorder="1" applyAlignment="1">
      <alignment horizontal="center"/>
    </xf>
    <xf numFmtId="165" fontId="0" fillId="0" borderId="6" xfId="0" applyNumberFormat="1" applyBorder="1" applyAlignment="1">
      <alignment horizontal="center"/>
    </xf>
    <xf numFmtId="165" fontId="0" fillId="0" borderId="5" xfId="0" applyNumberForma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11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9" fontId="0" fillId="0" borderId="2" xfId="0" applyNumberFormat="1" applyBorder="1" applyAlignment="1">
      <alignment horizontal="center"/>
    </xf>
    <xf numFmtId="172" fontId="0" fillId="0" borderId="2" xfId="1" applyNumberFormat="1" applyFont="1" applyBorder="1"/>
    <xf numFmtId="169" fontId="0" fillId="0" borderId="5" xfId="1" applyNumberFormat="1" applyFont="1" applyBorder="1"/>
    <xf numFmtId="172" fontId="0" fillId="0" borderId="5" xfId="1" applyNumberFormat="1" applyFont="1" applyBorder="1"/>
    <xf numFmtId="174" fontId="0" fillId="0" borderId="2" xfId="2" applyNumberFormat="1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165" fontId="0" fillId="0" borderId="2" xfId="0" applyNumberFormat="1" applyBorder="1" applyAlignment="1">
      <alignment horizontal="center"/>
    </xf>
    <xf numFmtId="0" fontId="0" fillId="0" borderId="15" xfId="0" applyBorder="1" applyAlignment="1">
      <alignment horizontal="center"/>
    </xf>
    <xf numFmtId="0" fontId="4" fillId="0" borderId="6" xfId="0" applyFont="1" applyBorder="1" applyAlignment="1">
      <alignment horizontal="center"/>
    </xf>
    <xf numFmtId="173" fontId="0" fillId="0" borderId="5" xfId="0" applyNumberFormat="1" applyBorder="1" applyAlignment="1">
      <alignment horizontal="center"/>
    </xf>
    <xf numFmtId="173" fontId="0" fillId="0" borderId="2" xfId="0" applyNumberFormat="1" applyBorder="1" applyAlignment="1">
      <alignment horizontal="center"/>
    </xf>
    <xf numFmtId="172" fontId="0" fillId="0" borderId="2" xfId="1" applyNumberFormat="1" applyFont="1" applyBorder="1" applyAlignment="1">
      <alignment horizontal="center"/>
    </xf>
    <xf numFmtId="16" fontId="0" fillId="0" borderId="0" xfId="0" applyNumberFormat="1" applyAlignment="1">
      <alignment horizontal="center"/>
    </xf>
    <xf numFmtId="167" fontId="10" fillId="0" borderId="0" xfId="0" applyNumberFormat="1" applyFont="1" applyAlignment="1">
      <alignment horizontal="center"/>
    </xf>
    <xf numFmtId="164" fontId="10" fillId="0" borderId="0" xfId="0" applyNumberFormat="1" applyFont="1" applyAlignment="1">
      <alignment horizontal="center"/>
    </xf>
    <xf numFmtId="1" fontId="0" fillId="0" borderId="0" xfId="0" applyNumberFormat="1" applyAlignment="1">
      <alignment horizontal="center"/>
    </xf>
    <xf numFmtId="168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169" fontId="0" fillId="0" borderId="0" xfId="1" applyNumberFormat="1" applyFont="1" applyBorder="1"/>
    <xf numFmtId="170" fontId="0" fillId="0" borderId="0" xfId="0" applyNumberFormat="1" applyAlignment="1">
      <alignment horizontal="center"/>
    </xf>
    <xf numFmtId="172" fontId="0" fillId="0" borderId="0" xfId="1" applyNumberFormat="1" applyFont="1" applyBorder="1" applyAlignment="1">
      <alignment horizontal="center"/>
    </xf>
    <xf numFmtId="173" fontId="0" fillId="0" borderId="0" xfId="0" applyNumberFormat="1" applyAlignment="1">
      <alignment horizontal="center"/>
    </xf>
    <xf numFmtId="167" fontId="0" fillId="2" borderId="5" xfId="0" applyNumberFormat="1" applyFill="1" applyBorder="1" applyAlignment="1">
      <alignment horizontal="center"/>
    </xf>
    <xf numFmtId="167" fontId="0" fillId="2" borderId="0" xfId="0" applyNumberFormat="1" applyFill="1" applyAlignment="1">
      <alignment horizontal="center"/>
    </xf>
    <xf numFmtId="167" fontId="0" fillId="2" borderId="2" xfId="0" applyNumberFormat="1" applyFill="1" applyBorder="1" applyAlignment="1">
      <alignment horizontal="center"/>
    </xf>
    <xf numFmtId="1" fontId="0" fillId="2" borderId="2" xfId="0" applyNumberFormat="1" applyFill="1" applyBorder="1" applyAlignment="1">
      <alignment horizontal="center"/>
    </xf>
    <xf numFmtId="168" fontId="0" fillId="2" borderId="2" xfId="0" applyNumberFormat="1" applyFill="1" applyBorder="1" applyAlignment="1">
      <alignment horizontal="center"/>
    </xf>
    <xf numFmtId="164" fontId="0" fillId="2" borderId="2" xfId="0" applyNumberFormat="1" applyFill="1" applyBorder="1" applyAlignment="1">
      <alignment horizontal="center"/>
    </xf>
    <xf numFmtId="0" fontId="0" fillId="2" borderId="0" xfId="0" applyFill="1"/>
    <xf numFmtId="165" fontId="0" fillId="2" borderId="2" xfId="0" applyNumberFormat="1" applyFill="1" applyBorder="1" applyAlignment="1">
      <alignment horizontal="center"/>
    </xf>
    <xf numFmtId="169" fontId="0" fillId="2" borderId="2" xfId="1" applyNumberFormat="1" applyFont="1" applyFill="1" applyBorder="1"/>
    <xf numFmtId="170" fontId="0" fillId="2" borderId="2" xfId="0" applyNumberFormat="1" applyFill="1" applyBorder="1" applyAlignment="1">
      <alignment horizontal="center"/>
    </xf>
    <xf numFmtId="167" fontId="0" fillId="2" borderId="10" xfId="0" applyNumberFormat="1" applyFill="1" applyBorder="1" applyAlignment="1">
      <alignment horizontal="center"/>
    </xf>
    <xf numFmtId="165" fontId="0" fillId="2" borderId="6" xfId="0" applyNumberFormat="1" applyFill="1" applyBorder="1" applyAlignment="1">
      <alignment horizontal="center"/>
    </xf>
    <xf numFmtId="172" fontId="0" fillId="2" borderId="2" xfId="1" applyNumberFormat="1" applyFont="1" applyFill="1" applyBorder="1" applyAlignment="1">
      <alignment horizontal="center"/>
    </xf>
    <xf numFmtId="164" fontId="0" fillId="2" borderId="5" xfId="0" applyNumberFormat="1" applyFill="1" applyBorder="1" applyAlignment="1">
      <alignment horizontal="center"/>
    </xf>
    <xf numFmtId="0" fontId="15" fillId="0" borderId="0" xfId="3"/>
    <xf numFmtId="0" fontId="16" fillId="0" borderId="0" xfId="0" applyFont="1"/>
    <xf numFmtId="176" fontId="0" fillId="0" borderId="0" xfId="1" applyNumberFormat="1" applyFont="1" applyAlignment="1">
      <alignment horizontal="center"/>
    </xf>
    <xf numFmtId="177" fontId="0" fillId="0" borderId="0" xfId="1" applyNumberFormat="1" applyFont="1" applyAlignment="1">
      <alignment horizontal="center"/>
    </xf>
    <xf numFmtId="179" fontId="0" fillId="0" borderId="0" xfId="1" applyNumberFormat="1" applyFont="1"/>
    <xf numFmtId="0" fontId="11" fillId="0" borderId="0" xfId="0" applyFont="1" applyAlignment="1">
      <alignment horizontal="center"/>
    </xf>
    <xf numFmtId="0" fontId="0" fillId="0" borderId="7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4" xfId="0" applyBorder="1" applyAlignment="1">
      <alignment horizontal="center"/>
    </xf>
    <xf numFmtId="184" fontId="0" fillId="0" borderId="0" xfId="0" applyNumberFormat="1" applyAlignment="1">
      <alignment horizontal="center"/>
    </xf>
    <xf numFmtId="180" fontId="0" fillId="0" borderId="0" xfId="1" applyNumberFormat="1" applyFont="1" applyAlignment="1">
      <alignment horizontal="center"/>
    </xf>
    <xf numFmtId="187" fontId="0" fillId="0" borderId="0" xfId="0" applyNumberFormat="1" applyAlignment="1">
      <alignment horizontal="center"/>
    </xf>
    <xf numFmtId="188" fontId="0" fillId="0" borderId="0" xfId="1" applyNumberFormat="1" applyFont="1" applyAlignment="1">
      <alignment horizontal="center"/>
    </xf>
    <xf numFmtId="188" fontId="0" fillId="0" borderId="0" xfId="0" applyNumberFormat="1" applyAlignment="1">
      <alignment horizontal="center"/>
    </xf>
    <xf numFmtId="188" fontId="0" fillId="0" borderId="0" xfId="0" applyNumberFormat="1"/>
    <xf numFmtId="176" fontId="0" fillId="0" borderId="0" xfId="1" applyNumberFormat="1" applyFont="1" applyAlignment="1">
      <alignment horizontal="right"/>
    </xf>
    <xf numFmtId="176" fontId="0" fillId="0" borderId="0" xfId="1" applyNumberFormat="1" applyFont="1" applyAlignment="1">
      <alignment horizontal="left" vertical="center"/>
    </xf>
    <xf numFmtId="189" fontId="0" fillId="0" borderId="0" xfId="1" applyNumberFormat="1" applyFont="1" applyAlignment="1">
      <alignment horizontal="center"/>
    </xf>
    <xf numFmtId="187" fontId="0" fillId="0" borderId="0" xfId="1" applyNumberFormat="1" applyFont="1"/>
    <xf numFmtId="189" fontId="0" fillId="0" borderId="0" xfId="0" applyNumberFormat="1" applyAlignment="1">
      <alignment horizontal="center"/>
    </xf>
    <xf numFmtId="189" fontId="0" fillId="0" borderId="0" xfId="1" applyNumberFormat="1" applyFont="1"/>
    <xf numFmtId="190" fontId="0" fillId="0" borderId="0" xfId="1" applyNumberFormat="1" applyFont="1"/>
    <xf numFmtId="192" fontId="0" fillId="0" borderId="0" xfId="1" applyNumberFormat="1" applyFont="1" applyAlignment="1">
      <alignment horizontal="center"/>
    </xf>
    <xf numFmtId="192" fontId="0" fillId="0" borderId="0" xfId="0" applyNumberFormat="1" applyAlignment="1">
      <alignment horizontal="center"/>
    </xf>
    <xf numFmtId="192" fontId="0" fillId="0" borderId="0" xfId="0" applyNumberFormat="1"/>
  </cellXfs>
  <cellStyles count="4">
    <cellStyle name="Comma" xfId="1" builtinId="3"/>
    <cellStyle name="Hyperlink" xfId="3" builtinId="8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chartsheet" Target="chartsheets/sheet3.xml"/><Relationship Id="rId7" Type="http://schemas.openxmlformats.org/officeDocument/2006/relationships/styles" Target="styles.xml"/><Relationship Id="rId2" Type="http://schemas.openxmlformats.org/officeDocument/2006/relationships/chartsheet" Target="chartsheets/sheet2.xml"/><Relationship Id="rId1" Type="http://schemas.openxmlformats.org/officeDocument/2006/relationships/chartsheet" Target="chart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2.xml"/><Relationship Id="rId4" Type="http://schemas.openxmlformats.org/officeDocument/2006/relationships/worksheet" Target="worksheets/sheet1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r>
              <a:rPr lang="en-CA" b="1" i="0" baseline="0">
                <a:latin typeface="Arial" panose="020B0604020202020204" pitchFamily="34" charset="0"/>
              </a:rPr>
              <a:t>Temperature vs. ratio of weights WV to CO2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21-Mar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'21st of month'!#REF!</c:f>
            </c:numRef>
          </c:xVal>
          <c:yVal>
            <c:numRef>
              <c:f>'Sheet 1'!$H$13:$H$16</c:f>
              <c:numCache>
                <c:formatCode>General</c:formatCode>
                <c:ptCount val="4"/>
                <c:pt idx="0">
                  <c:v>-18</c:v>
                </c:pt>
                <c:pt idx="1">
                  <c:v>8</c:v>
                </c:pt>
                <c:pt idx="2">
                  <c:v>3</c:v>
                </c:pt>
                <c:pt idx="3">
                  <c:v>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965-4367-805B-658E3236500B}"/>
            </c:ext>
          </c:extLst>
        </c:ser>
        <c:ser>
          <c:idx val="1"/>
          <c:order val="1"/>
          <c:tx>
            <c:v>21-Apr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'21st of month'!#REF!</c:f>
            </c:numRef>
          </c:xVal>
          <c:yVal>
            <c:numRef>
              <c:f>'21st of month'!#REF!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A965-4367-805B-658E3236500B}"/>
            </c:ext>
          </c:extLst>
        </c:ser>
        <c:ser>
          <c:idx val="2"/>
          <c:order val="2"/>
          <c:tx>
            <c:v>21-May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'21st of month'!#REF!</c:f>
            </c:numRef>
          </c:xVal>
          <c:yVal>
            <c:numRef>
              <c:f>'21st of month'!#REF!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A965-4367-805B-658E3236500B}"/>
            </c:ext>
          </c:extLst>
        </c:ser>
        <c:ser>
          <c:idx val="3"/>
          <c:order val="3"/>
          <c:tx>
            <c:v>21-Jun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'21st of month'!#REF!</c:f>
            </c:numRef>
          </c:xVal>
          <c:yVal>
            <c:numRef>
              <c:f>'21st of month'!#REF!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A965-4367-805B-658E3236500B}"/>
            </c:ext>
          </c:extLst>
        </c:ser>
        <c:ser>
          <c:idx val="4"/>
          <c:order val="4"/>
          <c:tx>
            <c:v>21-Jul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6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'21st of month'!#REF!</c:f>
            </c:numRef>
          </c:xVal>
          <c:yVal>
            <c:numRef>
              <c:f>'21st of month'!#REF!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A965-4367-805B-658E3236500B}"/>
            </c:ext>
          </c:extLst>
        </c:ser>
        <c:ser>
          <c:idx val="5"/>
          <c:order val="5"/>
          <c:tx>
            <c:v>21-Aug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6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'21st of month'!#REF!</c:f>
            </c:numRef>
          </c:xVal>
          <c:yVal>
            <c:numRef>
              <c:f>'21st of month'!#REF!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A965-4367-805B-658E3236500B}"/>
            </c:ext>
          </c:extLst>
        </c:ser>
        <c:ser>
          <c:idx val="6"/>
          <c:order val="6"/>
          <c:tx>
            <c:v>21-Sep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6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'21st of month'!#REF!</c:f>
            </c:numRef>
          </c:xVal>
          <c:yVal>
            <c:numRef>
              <c:f>'21st of month'!#REF!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A965-4367-805B-658E3236500B}"/>
            </c:ext>
          </c:extLst>
        </c:ser>
        <c:ser>
          <c:idx val="8"/>
          <c:order val="7"/>
          <c:tx>
            <c:v> Oct 21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6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'21st of month'!#REF!</c:f>
            </c:numRef>
          </c:xVal>
          <c:yVal>
            <c:numRef>
              <c:f>'21st of month'!#REF!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A965-4367-805B-658E3236500B}"/>
            </c:ext>
          </c:extLst>
        </c:ser>
        <c:ser>
          <c:idx val="10"/>
          <c:order val="8"/>
          <c:tx>
            <c:v>21-Nov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6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'21st of month'!#REF!</c:f>
            </c:numRef>
          </c:xVal>
          <c:yVal>
            <c:numRef>
              <c:f>'21st of month'!#REF!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A965-4367-805B-658E3236500B}"/>
            </c:ext>
          </c:extLst>
        </c:ser>
        <c:ser>
          <c:idx val="9"/>
          <c:order val="9"/>
          <c:tx>
            <c:v>21-Dec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6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'21st of month'!#REF!</c:f>
            </c:numRef>
          </c:xVal>
          <c:yVal>
            <c:numRef>
              <c:f>'21st of month'!#REF!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9-A965-4367-805B-658E3236500B}"/>
            </c:ext>
          </c:extLst>
        </c:ser>
        <c:ser>
          <c:idx val="11"/>
          <c:order val="10"/>
          <c:tx>
            <c:v>21-Jan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'21st of month'!#REF!</c:f>
            </c:numRef>
          </c:xVal>
          <c:yVal>
            <c:numRef>
              <c:f>'21st of month'!#REF!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A-A965-4367-805B-658E3236500B}"/>
            </c:ext>
          </c:extLst>
        </c:ser>
        <c:ser>
          <c:idx val="12"/>
          <c:order val="11"/>
          <c:tx>
            <c:v>21-Feb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'21st of month'!#REF!</c:f>
            </c:numRef>
          </c:xVal>
          <c:yVal>
            <c:numRef>
              <c:f>'21st of month'!#REF!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B-A965-4367-805B-658E323650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81312248"/>
        <c:axId val="481311920"/>
      </c:scatterChart>
      <c:valAx>
        <c:axId val="481312248"/>
        <c:scaling>
          <c:orientation val="minMax"/>
          <c:max val="120"/>
        </c:scaling>
        <c:delete val="0"/>
        <c:axPos val="b"/>
        <c:majorGridlines>
          <c:spPr>
            <a:ln w="3175" cap="flat" cmpd="sng" algn="ctr">
              <a:solidFill>
                <a:schemeClr val="tx1"/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 b="1" i="0" baseline="0">
                    <a:latin typeface="Arial" panose="020B0604020202020204" pitchFamily="34" charset="0"/>
                  </a:rPr>
                  <a:t>Ratio weight WV to weight CO2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317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ln w="9525">
                  <a:solidFill>
                    <a:schemeClr val="tx1"/>
                  </a:solidFill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n-US"/>
          </a:p>
        </c:txPr>
        <c:crossAx val="481311920"/>
        <c:crossesAt val="-50"/>
        <c:crossBetween val="midCat"/>
        <c:majorUnit val="10"/>
      </c:valAx>
      <c:valAx>
        <c:axId val="481311920"/>
        <c:scaling>
          <c:orientation val="minMax"/>
          <c:max val="50"/>
          <c:min val="-50"/>
        </c:scaling>
        <c:delete val="0"/>
        <c:axPos val="l"/>
        <c:majorGridlines>
          <c:spPr>
            <a:ln w="3175" cap="flat" cmpd="sng" algn="ctr">
              <a:solidFill>
                <a:schemeClr val="tx1"/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+mn-cs"/>
                  </a:defRPr>
                </a:pPr>
                <a:r>
                  <a:rPr lang="en-US" sz="1400" b="1" i="0" baseline="0">
                    <a:latin typeface="Arial" panose="020B0604020202020204" pitchFamily="34" charset="0"/>
                  </a:rPr>
                  <a:t> Dry bulb temperature, </a:t>
                </a:r>
                <a:r>
                  <a:rPr lang="en-US" sz="1400" b="1" i="0" baseline="30000">
                    <a:latin typeface="Arial" panose="020B0604020202020204" pitchFamily="34" charset="0"/>
                  </a:rPr>
                  <a:t>o</a:t>
                </a:r>
                <a:r>
                  <a:rPr lang="en-US" sz="1400" b="1" i="0" baseline="0">
                    <a:latin typeface="Arial" panose="020B0604020202020204" pitchFamily="34" charset="0"/>
                  </a:rPr>
                  <a:t>C 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out"/>
        <c:minorTickMark val="out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ln w="0">
                  <a:solidFill>
                    <a:schemeClr val="tx1">
                      <a:alpha val="97000"/>
                    </a:schemeClr>
                  </a:solidFill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n-US"/>
          </a:p>
        </c:txPr>
        <c:crossAx val="481312248"/>
        <c:crossesAt val="0"/>
        <c:crossBetween val="midCat"/>
      </c:valAx>
      <c:spPr>
        <a:noFill/>
        <a:ln>
          <a:solidFill>
            <a:srgbClr val="00B050"/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r>
              <a:rPr lang="en-CA" b="1" i="0" baseline="0">
                <a:latin typeface="Arial" panose="020B0604020202020204" pitchFamily="34" charset="0"/>
              </a:rPr>
              <a:t>Temperature vs. Water vapor molecules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21-Mar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'21st of month'!#REF!</c:f>
              <c:numCache>
                <c:formatCode>General</c:formatCode>
                <c:ptCount val="8"/>
                <c:pt idx="0" formatCode="0.0">
                  <c:v>0.77610052295883125</c:v>
                </c:pt>
                <c:pt idx="2" formatCode="0.0">
                  <c:v>21.865254028782619</c:v>
                </c:pt>
                <c:pt idx="3" formatCode="0.0">
                  <c:v>16.909164953967537</c:v>
                </c:pt>
                <c:pt idx="4" formatCode="0.0">
                  <c:v>9.4665455129549532</c:v>
                </c:pt>
                <c:pt idx="5" formatCode="0.0">
                  <c:v>92.585271260520202</c:v>
                </c:pt>
                <c:pt idx="6" formatCode="0.0">
                  <c:v>96.230723155843734</c:v>
                </c:pt>
                <c:pt idx="7" formatCode="0.0">
                  <c:v>1.3792448503787573</c:v>
                </c:pt>
              </c:numCache>
            </c:numRef>
          </c:xVal>
          <c:yVal>
            <c:numRef>
              <c:f>'Sheet 1'!$H$13:$H$16</c:f>
              <c:numCache>
                <c:formatCode>General</c:formatCode>
                <c:ptCount val="4"/>
                <c:pt idx="0">
                  <c:v>-18</c:v>
                </c:pt>
                <c:pt idx="1">
                  <c:v>8</c:v>
                </c:pt>
                <c:pt idx="2">
                  <c:v>3</c:v>
                </c:pt>
                <c:pt idx="3">
                  <c:v>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945B-4AFA-B1F8-CC4DEB8BC601}"/>
            </c:ext>
          </c:extLst>
        </c:ser>
        <c:ser>
          <c:idx val="1"/>
          <c:order val="1"/>
          <c:tx>
            <c:v>21-Apr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'21st of month'!#REF!</c:f>
            </c:numRef>
          </c:xVal>
          <c:yVal>
            <c:numRef>
              <c:f>'21st of month'!#REF!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945B-4AFA-B1F8-CC4DEB8BC601}"/>
            </c:ext>
          </c:extLst>
        </c:ser>
        <c:ser>
          <c:idx val="2"/>
          <c:order val="2"/>
          <c:tx>
            <c:v>21-May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'21st of month'!#REF!</c:f>
            </c:numRef>
          </c:xVal>
          <c:yVal>
            <c:numRef>
              <c:f>'21st of month'!#REF!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945B-4AFA-B1F8-CC4DEB8BC601}"/>
            </c:ext>
          </c:extLst>
        </c:ser>
        <c:ser>
          <c:idx val="3"/>
          <c:order val="3"/>
          <c:tx>
            <c:v>21-Jun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'21st of month'!#REF!</c:f>
            </c:numRef>
          </c:xVal>
          <c:yVal>
            <c:numRef>
              <c:f>'21st of month'!#REF!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945B-4AFA-B1F8-CC4DEB8BC601}"/>
            </c:ext>
          </c:extLst>
        </c:ser>
        <c:ser>
          <c:idx val="4"/>
          <c:order val="4"/>
          <c:tx>
            <c:v>21-Jul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6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'21st of month'!#REF!</c:f>
            </c:numRef>
          </c:xVal>
          <c:yVal>
            <c:numRef>
              <c:f>'21st of month'!#REF!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945B-4AFA-B1F8-CC4DEB8BC601}"/>
            </c:ext>
          </c:extLst>
        </c:ser>
        <c:ser>
          <c:idx val="5"/>
          <c:order val="5"/>
          <c:tx>
            <c:v>21-Aug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6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'21st of month'!#REF!</c:f>
            </c:numRef>
          </c:xVal>
          <c:yVal>
            <c:numRef>
              <c:f>'21st of month'!#REF!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945B-4AFA-B1F8-CC4DEB8BC601}"/>
            </c:ext>
          </c:extLst>
        </c:ser>
        <c:ser>
          <c:idx val="6"/>
          <c:order val="6"/>
          <c:tx>
            <c:v>21-Sep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6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'21st of month'!#REF!</c:f>
            </c:numRef>
          </c:xVal>
          <c:yVal>
            <c:numRef>
              <c:f>'21st of month'!#REF!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945B-4AFA-B1F8-CC4DEB8BC601}"/>
            </c:ext>
          </c:extLst>
        </c:ser>
        <c:ser>
          <c:idx val="8"/>
          <c:order val="7"/>
          <c:tx>
            <c:v> Oct 21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6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'21st of month'!#REF!</c:f>
            </c:numRef>
          </c:xVal>
          <c:yVal>
            <c:numRef>
              <c:f>'21st of month'!#REF!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945B-4AFA-B1F8-CC4DEB8BC601}"/>
            </c:ext>
          </c:extLst>
        </c:ser>
        <c:ser>
          <c:idx val="10"/>
          <c:order val="8"/>
          <c:tx>
            <c:v>21-Nov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6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'21st of month'!#REF!</c:f>
            </c:numRef>
          </c:xVal>
          <c:yVal>
            <c:numRef>
              <c:f>'21st of month'!#REF!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945B-4AFA-B1F8-CC4DEB8BC601}"/>
            </c:ext>
          </c:extLst>
        </c:ser>
        <c:ser>
          <c:idx val="9"/>
          <c:order val="9"/>
          <c:tx>
            <c:v>21-Dec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6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'21st of month'!#REF!</c:f>
            </c:numRef>
          </c:xVal>
          <c:yVal>
            <c:numRef>
              <c:f>'21st of month'!#REF!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9-945B-4AFA-B1F8-CC4DEB8BC601}"/>
            </c:ext>
          </c:extLst>
        </c:ser>
        <c:ser>
          <c:idx val="11"/>
          <c:order val="10"/>
          <c:tx>
            <c:v>21-Jan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'21st of month'!#REF!</c:f>
            </c:numRef>
          </c:xVal>
          <c:yVal>
            <c:numRef>
              <c:f>'21st of month'!#REF!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A-945B-4AFA-B1F8-CC4DEB8BC601}"/>
            </c:ext>
          </c:extLst>
        </c:ser>
        <c:ser>
          <c:idx val="12"/>
          <c:order val="11"/>
          <c:tx>
            <c:v>21-Feb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'21st of month'!#REF!</c:f>
            </c:numRef>
          </c:xVal>
          <c:yVal>
            <c:numRef>
              <c:f>'21st of month'!#REF!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B-945B-4AFA-B1F8-CC4DEB8BC6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81312248"/>
        <c:axId val="481311920"/>
      </c:scatterChart>
      <c:valAx>
        <c:axId val="481312248"/>
        <c:scaling>
          <c:orientation val="minMax"/>
          <c:max val="120"/>
        </c:scaling>
        <c:delete val="0"/>
        <c:axPos val="b"/>
        <c:majorGridlines>
          <c:spPr>
            <a:ln w="3175" cap="flat" cmpd="sng" algn="ctr">
              <a:solidFill>
                <a:schemeClr val="tx1"/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 b="1" i="0" baseline="0">
                    <a:latin typeface="Arial" panose="020B0604020202020204" pitchFamily="34" charset="0"/>
                  </a:rPr>
                  <a:t>Number of water vapor molecules per molecule CO2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317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ln w="9525">
                  <a:solidFill>
                    <a:schemeClr val="tx1"/>
                  </a:solidFill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n-US"/>
          </a:p>
        </c:txPr>
        <c:crossAx val="481311920"/>
        <c:crossesAt val="-50"/>
        <c:crossBetween val="midCat"/>
        <c:majorUnit val="10"/>
      </c:valAx>
      <c:valAx>
        <c:axId val="481311920"/>
        <c:scaling>
          <c:orientation val="minMax"/>
          <c:max val="50"/>
          <c:min val="-50"/>
        </c:scaling>
        <c:delete val="0"/>
        <c:axPos val="l"/>
        <c:majorGridlines>
          <c:spPr>
            <a:ln w="3175" cap="flat" cmpd="sng" algn="ctr">
              <a:solidFill>
                <a:schemeClr val="tx1"/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+mn-cs"/>
                  </a:defRPr>
                </a:pPr>
                <a:r>
                  <a:rPr lang="en-US" sz="1400" b="1" i="0" baseline="0">
                    <a:latin typeface="Arial" panose="020B0604020202020204" pitchFamily="34" charset="0"/>
                  </a:rPr>
                  <a:t> Dry bulb temperature, </a:t>
                </a:r>
                <a:r>
                  <a:rPr lang="en-US" sz="1400" b="1" i="0" baseline="30000">
                    <a:latin typeface="Arial" panose="020B0604020202020204" pitchFamily="34" charset="0"/>
                  </a:rPr>
                  <a:t>o</a:t>
                </a:r>
                <a:r>
                  <a:rPr lang="en-US" sz="1400" b="1" i="0" baseline="0">
                    <a:latin typeface="Arial" panose="020B0604020202020204" pitchFamily="34" charset="0"/>
                  </a:rPr>
                  <a:t>C 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out"/>
        <c:minorTickMark val="out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ln w="0">
                  <a:solidFill>
                    <a:schemeClr val="tx1">
                      <a:alpha val="97000"/>
                    </a:schemeClr>
                  </a:solidFill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n-US"/>
          </a:p>
        </c:txPr>
        <c:crossAx val="481312248"/>
        <c:crossesAt val="0"/>
        <c:crossBetween val="midCat"/>
      </c:valAx>
      <c:spPr>
        <a:noFill/>
        <a:ln>
          <a:solidFill>
            <a:srgbClr val="00B050"/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r>
              <a:rPr lang="en-CA" b="1" i="0" baseline="0">
                <a:latin typeface="Arial" panose="020B0604020202020204" pitchFamily="34" charset="0"/>
              </a:rPr>
              <a:t>Temperature vs. humidity ratio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21-Mar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'21st of month'!#REF!</c:f>
              <c:numCache>
                <c:formatCode>General</c:formatCode>
                <c:ptCount val="8"/>
              </c:numCache>
            </c:numRef>
          </c:xVal>
          <c:yVal>
            <c:numRef>
              <c:f>'Sheet 1'!$H$13:$H$16</c:f>
              <c:numCache>
                <c:formatCode>General</c:formatCode>
                <c:ptCount val="4"/>
                <c:pt idx="0">
                  <c:v>-18</c:v>
                </c:pt>
                <c:pt idx="1">
                  <c:v>8</c:v>
                </c:pt>
                <c:pt idx="2">
                  <c:v>3</c:v>
                </c:pt>
                <c:pt idx="3">
                  <c:v>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7FB-49A5-ADF2-54D8DF9D6917}"/>
            </c:ext>
          </c:extLst>
        </c:ser>
        <c:ser>
          <c:idx val="1"/>
          <c:order val="1"/>
          <c:tx>
            <c:v>21-Apr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'21st of month'!#REF!</c:f>
            </c:numRef>
          </c:xVal>
          <c:yVal>
            <c:numRef>
              <c:f>'21st of month'!#REF!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77FB-49A5-ADF2-54D8DF9D6917}"/>
            </c:ext>
          </c:extLst>
        </c:ser>
        <c:ser>
          <c:idx val="2"/>
          <c:order val="2"/>
          <c:tx>
            <c:v>21-May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'21st of month'!#REF!</c:f>
            </c:numRef>
          </c:xVal>
          <c:yVal>
            <c:numRef>
              <c:f>'21st of month'!#REF!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77FB-49A5-ADF2-54D8DF9D6917}"/>
            </c:ext>
          </c:extLst>
        </c:ser>
        <c:ser>
          <c:idx val="3"/>
          <c:order val="3"/>
          <c:tx>
            <c:v>21-Jun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'21st of month'!#REF!</c:f>
            </c:numRef>
          </c:xVal>
          <c:yVal>
            <c:numRef>
              <c:f>'21st of month'!#REF!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77FB-49A5-ADF2-54D8DF9D6917}"/>
            </c:ext>
          </c:extLst>
        </c:ser>
        <c:ser>
          <c:idx val="4"/>
          <c:order val="4"/>
          <c:tx>
            <c:v>21-Jul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6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'21st of month'!#REF!</c:f>
            </c:numRef>
          </c:xVal>
          <c:yVal>
            <c:numRef>
              <c:f>'21st of month'!#REF!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77FB-49A5-ADF2-54D8DF9D6917}"/>
            </c:ext>
          </c:extLst>
        </c:ser>
        <c:ser>
          <c:idx val="5"/>
          <c:order val="5"/>
          <c:tx>
            <c:v>21-Aug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6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'21st of month'!#REF!</c:f>
            </c:numRef>
          </c:xVal>
          <c:yVal>
            <c:numRef>
              <c:f>'21st of month'!#REF!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77FB-49A5-ADF2-54D8DF9D6917}"/>
            </c:ext>
          </c:extLst>
        </c:ser>
        <c:ser>
          <c:idx val="6"/>
          <c:order val="6"/>
          <c:tx>
            <c:v>21-Sep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6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'21st of month'!#REF!</c:f>
            </c:numRef>
          </c:xVal>
          <c:yVal>
            <c:numRef>
              <c:f>'21st of month'!#REF!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77FB-49A5-ADF2-54D8DF9D6917}"/>
            </c:ext>
          </c:extLst>
        </c:ser>
        <c:ser>
          <c:idx val="8"/>
          <c:order val="7"/>
          <c:tx>
            <c:v> Oct 21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6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'21st of month'!#REF!</c:f>
            </c:numRef>
          </c:xVal>
          <c:yVal>
            <c:numRef>
              <c:f>'21st of month'!#REF!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77FB-49A5-ADF2-54D8DF9D6917}"/>
            </c:ext>
          </c:extLst>
        </c:ser>
        <c:ser>
          <c:idx val="10"/>
          <c:order val="8"/>
          <c:tx>
            <c:v>21-Nov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6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'21st of month'!#REF!</c:f>
            </c:numRef>
          </c:xVal>
          <c:yVal>
            <c:numRef>
              <c:f>'21st of month'!#REF!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77FB-49A5-ADF2-54D8DF9D6917}"/>
            </c:ext>
          </c:extLst>
        </c:ser>
        <c:ser>
          <c:idx val="9"/>
          <c:order val="9"/>
          <c:tx>
            <c:v>21-Dec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6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'21st of month'!#REF!</c:f>
            </c:numRef>
          </c:xVal>
          <c:yVal>
            <c:numRef>
              <c:f>'21st of month'!#REF!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9-77FB-49A5-ADF2-54D8DF9D6917}"/>
            </c:ext>
          </c:extLst>
        </c:ser>
        <c:ser>
          <c:idx val="11"/>
          <c:order val="10"/>
          <c:tx>
            <c:v>21-Jan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'21st of month'!#REF!</c:f>
            </c:numRef>
          </c:xVal>
          <c:yVal>
            <c:numRef>
              <c:f>'21st of month'!#REF!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A-77FB-49A5-ADF2-54D8DF9D6917}"/>
            </c:ext>
          </c:extLst>
        </c:ser>
        <c:ser>
          <c:idx val="12"/>
          <c:order val="11"/>
          <c:tx>
            <c:v>21-Feb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'21st of month'!#REF!</c:f>
            </c:numRef>
          </c:xVal>
          <c:yVal>
            <c:numRef>
              <c:f>'21st of month'!#REF!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B-77FB-49A5-ADF2-54D8DF9D69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81312248"/>
        <c:axId val="481311920"/>
      </c:scatterChart>
      <c:valAx>
        <c:axId val="481312248"/>
        <c:scaling>
          <c:orientation val="minMax"/>
          <c:max val="24"/>
        </c:scaling>
        <c:delete val="0"/>
        <c:axPos val="b"/>
        <c:majorGridlines>
          <c:spPr>
            <a:ln w="3175" cap="flat" cmpd="sng" algn="ctr">
              <a:solidFill>
                <a:schemeClr val="tx1"/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 b="1" i="0" baseline="0">
                    <a:latin typeface="Arial" panose="020B0604020202020204" pitchFamily="34" charset="0"/>
                  </a:rPr>
                  <a:t>Humidity ratio, grams of water per kg dry air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317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ln w="9525">
                  <a:solidFill>
                    <a:schemeClr val="tx1"/>
                  </a:solidFill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n-US"/>
          </a:p>
        </c:txPr>
        <c:crossAx val="481311920"/>
        <c:crossesAt val="-50"/>
        <c:crossBetween val="midCat"/>
        <c:majorUnit val="2"/>
      </c:valAx>
      <c:valAx>
        <c:axId val="481311920"/>
        <c:scaling>
          <c:orientation val="minMax"/>
          <c:max val="50"/>
          <c:min val="-50"/>
        </c:scaling>
        <c:delete val="0"/>
        <c:axPos val="l"/>
        <c:majorGridlines>
          <c:spPr>
            <a:ln w="3175" cap="flat" cmpd="sng" algn="ctr">
              <a:solidFill>
                <a:schemeClr val="tx1"/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+mn-cs"/>
                  </a:defRPr>
                </a:pPr>
                <a:r>
                  <a:rPr lang="en-US" sz="1400" b="1" i="0" baseline="0">
                    <a:latin typeface="Arial" panose="020B0604020202020204" pitchFamily="34" charset="0"/>
                  </a:rPr>
                  <a:t> Dry bulb temperature, </a:t>
                </a:r>
                <a:r>
                  <a:rPr lang="en-US" sz="1400" b="1" i="0" baseline="30000">
                    <a:latin typeface="Arial" panose="020B0604020202020204" pitchFamily="34" charset="0"/>
                  </a:rPr>
                  <a:t>o</a:t>
                </a:r>
                <a:r>
                  <a:rPr lang="en-US" sz="1400" b="1" i="0" baseline="0">
                    <a:latin typeface="Arial" panose="020B0604020202020204" pitchFamily="34" charset="0"/>
                  </a:rPr>
                  <a:t>C 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out"/>
        <c:minorTickMark val="out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ln w="0">
                  <a:solidFill>
                    <a:schemeClr val="tx1">
                      <a:alpha val="97000"/>
                    </a:schemeClr>
                  </a:solidFill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n-US"/>
          </a:p>
        </c:txPr>
        <c:crossAx val="481312248"/>
        <c:crossesAt val="0"/>
        <c:crossBetween val="midCat"/>
      </c:valAx>
      <c:spPr>
        <a:noFill/>
        <a:ln>
          <a:solidFill>
            <a:srgbClr val="00B050"/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3F683A87-AA41-41CC-A7F7-1C2EB0F963F7}">
  <sheetPr/>
  <sheetViews>
    <sheetView zoomScale="103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8F53EE0-27E3-413F-8DF4-A85114464931}">
  <sheetPr/>
  <sheetViews>
    <sheetView zoomScale="103" workbookViewId="0" zoomToFit="1"/>
  </sheetViews>
  <pageMargins left="0.7" right="0.7" top="0.75" bottom="0.75" header="0.3" footer="0.3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657C0539-D955-48E2-AA61-EE3CC7052E20}">
  <sheetPr/>
  <sheetViews>
    <sheetView zoomScale="103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74223" cy="6297597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0A0EE48-A3F3-13BE-64C6-C054E8B0578D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74223" cy="6297597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5D14CCB-18C2-C6BB-04FF-7C86E1C91C6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74223" cy="6297597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EBA6705-E04B-41FA-BC74-333C62D31A71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agage.mit.edu/research-highlights/nitrogen-trifluoride-global-atmosphere-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Z105"/>
  <sheetViews>
    <sheetView zoomScale="110" zoomScaleNormal="110" zoomScaleSheetLayoutView="100" workbookViewId="0">
      <selection activeCell="E1" sqref="E1"/>
    </sheetView>
  </sheetViews>
  <sheetFormatPr defaultRowHeight="15" x14ac:dyDescent="0.25"/>
  <cols>
    <col min="1" max="1" width="3.7109375" customWidth="1"/>
    <col min="2" max="2" width="22.28515625" customWidth="1"/>
    <col min="3" max="3" width="27" customWidth="1"/>
    <col min="4" max="4" width="13.140625" bestFit="1" customWidth="1"/>
    <col min="5" max="5" width="10.7109375" customWidth="1"/>
    <col min="6" max="6" width="11.28515625" customWidth="1"/>
    <col min="7" max="7" width="12.7109375" customWidth="1"/>
    <col min="8" max="8" width="13.5703125" customWidth="1"/>
    <col min="9" max="9" width="10.140625" bestFit="1" customWidth="1"/>
    <col min="10" max="10" width="16.85546875" customWidth="1"/>
    <col min="11" max="11" width="11" bestFit="1" customWidth="1"/>
    <col min="12" max="12" width="11.140625" customWidth="1"/>
    <col min="13" max="14" width="10" bestFit="1" customWidth="1"/>
    <col min="15" max="15" width="14.5703125" customWidth="1"/>
    <col min="17" max="17" width="11.85546875" customWidth="1"/>
    <col min="18" max="18" width="1.85546875" customWidth="1"/>
    <col min="19" max="19" width="11.5703125" bestFit="1" customWidth="1"/>
    <col min="21" max="21" width="10.5703125" customWidth="1"/>
    <col min="22" max="22" width="3.140625" customWidth="1"/>
    <col min="25" max="32" width="10.7109375" customWidth="1"/>
    <col min="33" max="33" width="3.28515625" customWidth="1"/>
    <col min="35" max="35" width="11" customWidth="1"/>
    <col min="37" max="37" width="12.85546875" bestFit="1" customWidth="1"/>
    <col min="38" max="38" width="12.5703125" customWidth="1"/>
    <col min="41" max="41" width="11" customWidth="1"/>
    <col min="42" max="42" width="3.42578125" customWidth="1"/>
    <col min="47" max="47" width="12.85546875" bestFit="1" customWidth="1"/>
    <col min="50" max="50" width="12.5703125" customWidth="1"/>
    <col min="51" max="51" width="3" customWidth="1"/>
    <col min="52" max="52" width="12.28515625" customWidth="1"/>
  </cols>
  <sheetData>
    <row r="1" spans="1:52" x14ac:dyDescent="0.25">
      <c r="A1" t="s">
        <v>182</v>
      </c>
      <c r="E1" t="s">
        <v>328</v>
      </c>
    </row>
    <row r="2" spans="1:52" x14ac:dyDescent="0.25">
      <c r="A2" s="1"/>
    </row>
    <row r="3" spans="1:52" x14ac:dyDescent="0.25">
      <c r="A3" t="s">
        <v>14</v>
      </c>
      <c r="Y3" s="25"/>
      <c r="Z3" s="25"/>
      <c r="AA3" s="25"/>
      <c r="AB3" s="25"/>
      <c r="AC3" s="25"/>
      <c r="AD3" s="25"/>
      <c r="AE3" s="25"/>
      <c r="AF3" s="25"/>
      <c r="AG3" s="25"/>
    </row>
    <row r="4" spans="1:52" x14ac:dyDescent="0.25">
      <c r="K4" s="1"/>
    </row>
    <row r="5" spans="1:52" x14ac:dyDescent="0.25">
      <c r="A5" t="s">
        <v>151</v>
      </c>
      <c r="AU5" s="28"/>
    </row>
    <row r="6" spans="1:52" x14ac:dyDescent="0.25">
      <c r="A6" t="s">
        <v>150</v>
      </c>
      <c r="T6" s="85" t="s">
        <v>19</v>
      </c>
      <c r="U6" s="51" t="s">
        <v>19</v>
      </c>
    </row>
    <row r="7" spans="1:52" x14ac:dyDescent="0.25">
      <c r="A7" s="1" t="s">
        <v>67</v>
      </c>
      <c r="K7" s="2"/>
      <c r="M7" s="20"/>
      <c r="N7" s="17"/>
      <c r="O7" s="17"/>
      <c r="P7" s="32"/>
      <c r="T7" s="86" t="s">
        <v>155</v>
      </c>
      <c r="U7" s="52" t="s">
        <v>155</v>
      </c>
      <c r="W7" s="124" t="s">
        <v>58</v>
      </c>
      <c r="X7" s="125"/>
      <c r="Y7" s="125"/>
      <c r="Z7" s="125"/>
      <c r="AA7" s="125"/>
      <c r="AB7" s="125"/>
      <c r="AC7" s="125"/>
      <c r="AD7" s="125"/>
      <c r="AE7" s="125"/>
      <c r="AF7" s="126"/>
      <c r="AG7" s="24"/>
      <c r="AH7" s="124" t="s">
        <v>59</v>
      </c>
      <c r="AI7" s="125"/>
      <c r="AJ7" s="125"/>
      <c r="AK7" s="125"/>
      <c r="AL7" s="125"/>
      <c r="AM7" s="125"/>
      <c r="AN7" s="125"/>
      <c r="AO7" s="127"/>
      <c r="AQ7" s="124" t="s">
        <v>60</v>
      </c>
      <c r="AR7" s="125"/>
      <c r="AS7" s="125"/>
      <c r="AT7" s="125"/>
      <c r="AU7" s="125"/>
      <c r="AV7" s="125"/>
      <c r="AW7" s="125"/>
      <c r="AX7" s="127"/>
    </row>
    <row r="8" spans="1:52" x14ac:dyDescent="0.25">
      <c r="A8" t="s">
        <v>154</v>
      </c>
      <c r="K8" s="2"/>
      <c r="M8" s="20"/>
      <c r="N8" s="17"/>
      <c r="O8" s="17"/>
      <c r="P8" s="32"/>
      <c r="T8" s="86" t="s">
        <v>166</v>
      </c>
      <c r="U8" s="52" t="s">
        <v>166</v>
      </c>
      <c r="X8" s="13" t="s">
        <v>28</v>
      </c>
      <c r="AF8" s="19" t="s">
        <v>29</v>
      </c>
      <c r="AG8" s="24"/>
      <c r="AH8" s="13" t="s">
        <v>28</v>
      </c>
      <c r="AO8" s="19" t="s">
        <v>47</v>
      </c>
      <c r="AQ8" s="13" t="s">
        <v>28</v>
      </c>
      <c r="AV8" s="67" t="s">
        <v>51</v>
      </c>
      <c r="AX8" s="19" t="s">
        <v>48</v>
      </c>
      <c r="AZ8" s="19" t="s">
        <v>37</v>
      </c>
    </row>
    <row r="9" spans="1:52" x14ac:dyDescent="0.25">
      <c r="A9" t="s">
        <v>180</v>
      </c>
      <c r="K9" s="2"/>
      <c r="M9" s="20"/>
      <c r="N9" s="17"/>
      <c r="O9" s="17"/>
      <c r="P9" s="32"/>
      <c r="T9" s="86" t="s">
        <v>20</v>
      </c>
      <c r="U9" s="52" t="s">
        <v>20</v>
      </c>
      <c r="X9" s="13" t="s">
        <v>30</v>
      </c>
      <c r="AD9" s="67" t="s">
        <v>51</v>
      </c>
      <c r="AF9" s="13" t="s">
        <v>63</v>
      </c>
      <c r="AG9" s="24"/>
      <c r="AH9" s="13" t="s">
        <v>30</v>
      </c>
      <c r="AM9" s="67" t="s">
        <v>51</v>
      </c>
      <c r="AO9" s="13" t="s">
        <v>63</v>
      </c>
      <c r="AQ9" s="13" t="s">
        <v>30</v>
      </c>
      <c r="AV9" s="90" t="s">
        <v>54</v>
      </c>
      <c r="AX9" s="13" t="s">
        <v>63</v>
      </c>
      <c r="AZ9" s="13" t="s">
        <v>63</v>
      </c>
    </row>
    <row r="10" spans="1:52" ht="17.25" x14ac:dyDescent="0.25">
      <c r="C10" s="29"/>
      <c r="E10" s="33"/>
      <c r="F10" s="3"/>
      <c r="G10" s="33"/>
      <c r="P10" s="19" t="s">
        <v>13</v>
      </c>
      <c r="Q10" s="51" t="s">
        <v>13</v>
      </c>
      <c r="T10" s="86" t="s">
        <v>156</v>
      </c>
      <c r="U10" s="52" t="s">
        <v>156</v>
      </c>
      <c r="X10" s="13" t="s">
        <v>17</v>
      </c>
      <c r="Z10" s="69" t="s">
        <v>29</v>
      </c>
      <c r="AA10" s="19" t="s">
        <v>50</v>
      </c>
      <c r="AB10" s="3"/>
      <c r="AC10" s="69" t="s">
        <v>29</v>
      </c>
      <c r="AD10" s="71" t="s">
        <v>54</v>
      </c>
      <c r="AE10" s="69" t="s">
        <v>173</v>
      </c>
      <c r="AF10" s="13" t="s">
        <v>64</v>
      </c>
      <c r="AG10" s="24"/>
      <c r="AH10" s="55" t="s">
        <v>17</v>
      </c>
      <c r="AI10" s="19" t="s">
        <v>47</v>
      </c>
      <c r="AJ10" s="19" t="s">
        <v>50</v>
      </c>
      <c r="AK10" s="32"/>
      <c r="AL10" s="69" t="s">
        <v>47</v>
      </c>
      <c r="AM10" s="71" t="s">
        <v>54</v>
      </c>
      <c r="AN10" s="69" t="s">
        <v>36</v>
      </c>
      <c r="AO10" s="13" t="s">
        <v>64</v>
      </c>
      <c r="AQ10" s="55" t="s">
        <v>17</v>
      </c>
      <c r="AR10" s="19" t="s">
        <v>48</v>
      </c>
      <c r="AS10" s="19" t="s">
        <v>50</v>
      </c>
      <c r="AU10" s="69" t="s">
        <v>48</v>
      </c>
      <c r="AV10" s="13" t="s">
        <v>61</v>
      </c>
      <c r="AW10" s="89" t="s">
        <v>36</v>
      </c>
      <c r="AX10" s="13" t="s">
        <v>64</v>
      </c>
      <c r="AZ10" s="13" t="s">
        <v>152</v>
      </c>
    </row>
    <row r="11" spans="1:52" x14ac:dyDescent="0.25">
      <c r="G11" s="3" t="s">
        <v>0</v>
      </c>
      <c r="K11" s="3" t="s">
        <v>69</v>
      </c>
      <c r="L11" s="3" t="s">
        <v>1</v>
      </c>
      <c r="M11" s="3" t="s">
        <v>1</v>
      </c>
      <c r="N11" s="3" t="s">
        <v>19</v>
      </c>
      <c r="O11" s="3" t="s">
        <v>56</v>
      </c>
      <c r="P11" s="13" t="s">
        <v>16</v>
      </c>
      <c r="Q11" s="52" t="s">
        <v>16</v>
      </c>
      <c r="R11" s="3"/>
      <c r="S11" s="69" t="s">
        <v>19</v>
      </c>
      <c r="T11" s="86" t="s">
        <v>23</v>
      </c>
      <c r="U11" s="52" t="s">
        <v>23</v>
      </c>
      <c r="W11" s="19" t="s">
        <v>19</v>
      </c>
      <c r="X11" s="65" t="s">
        <v>22</v>
      </c>
      <c r="Y11" s="19" t="s">
        <v>29</v>
      </c>
      <c r="Z11" s="55" t="s">
        <v>16</v>
      </c>
      <c r="AA11" s="13" t="s">
        <v>49</v>
      </c>
      <c r="AC11" s="55" t="s">
        <v>52</v>
      </c>
      <c r="AD11" s="55" t="s">
        <v>61</v>
      </c>
      <c r="AE11" s="55" t="s">
        <v>61</v>
      </c>
      <c r="AF11" s="13" t="s">
        <v>65</v>
      </c>
      <c r="AG11" s="24"/>
      <c r="AH11" s="56" t="s">
        <v>22</v>
      </c>
      <c r="AI11" s="13" t="s">
        <v>16</v>
      </c>
      <c r="AJ11" s="13" t="s">
        <v>49</v>
      </c>
      <c r="AL11" s="55" t="s">
        <v>52</v>
      </c>
      <c r="AM11" s="55" t="s">
        <v>61</v>
      </c>
      <c r="AN11" s="55" t="s">
        <v>61</v>
      </c>
      <c r="AO11" s="13" t="s">
        <v>65</v>
      </c>
      <c r="AQ11" s="56" t="s">
        <v>22</v>
      </c>
      <c r="AR11" s="13" t="s">
        <v>16</v>
      </c>
      <c r="AS11" s="13" t="s">
        <v>49</v>
      </c>
      <c r="AU11" s="55" t="s">
        <v>52</v>
      </c>
      <c r="AV11" s="11" t="s">
        <v>62</v>
      </c>
      <c r="AW11" s="3" t="s">
        <v>61</v>
      </c>
      <c r="AX11" s="13" t="s">
        <v>65</v>
      </c>
      <c r="AZ11" s="13" t="s">
        <v>65</v>
      </c>
    </row>
    <row r="12" spans="1:52" ht="17.25" x14ac:dyDescent="0.25">
      <c r="A12" s="4"/>
      <c r="B12" s="4" t="s">
        <v>157</v>
      </c>
      <c r="C12" t="s">
        <v>44</v>
      </c>
      <c r="D12" t="s">
        <v>2</v>
      </c>
      <c r="E12" t="s">
        <v>3</v>
      </c>
      <c r="F12" s="3" t="s">
        <v>4</v>
      </c>
      <c r="G12" s="5" t="s">
        <v>5</v>
      </c>
      <c r="H12" s="3" t="s">
        <v>160</v>
      </c>
      <c r="I12" s="3" t="s">
        <v>68</v>
      </c>
      <c r="J12" s="3" t="s">
        <v>15</v>
      </c>
      <c r="K12" s="6" t="s">
        <v>25</v>
      </c>
      <c r="L12" s="15" t="s">
        <v>6</v>
      </c>
      <c r="M12" s="3" t="s">
        <v>7</v>
      </c>
      <c r="N12" s="3" t="s">
        <v>8</v>
      </c>
      <c r="O12" s="3" t="s">
        <v>57</v>
      </c>
      <c r="P12" s="11" t="s">
        <v>17</v>
      </c>
      <c r="Q12" s="53" t="s">
        <v>17</v>
      </c>
      <c r="R12" s="3"/>
      <c r="S12" s="72" t="s">
        <v>8</v>
      </c>
      <c r="T12" s="87" t="s">
        <v>17</v>
      </c>
      <c r="U12" s="53" t="s">
        <v>17</v>
      </c>
      <c r="W12" s="11" t="s">
        <v>8</v>
      </c>
      <c r="X12" s="66" t="s">
        <v>23</v>
      </c>
      <c r="Y12" s="11" t="s">
        <v>26</v>
      </c>
      <c r="Z12" s="72" t="s">
        <v>17</v>
      </c>
      <c r="AA12" s="11" t="s">
        <v>66</v>
      </c>
      <c r="AB12" s="75" t="s">
        <v>27</v>
      </c>
      <c r="AC12" s="70" t="s">
        <v>53</v>
      </c>
      <c r="AD12" s="72" t="s">
        <v>172</v>
      </c>
      <c r="AE12" s="72" t="s">
        <v>62</v>
      </c>
      <c r="AF12" s="11" t="s">
        <v>55</v>
      </c>
      <c r="AG12" s="24"/>
      <c r="AH12" s="57" t="s">
        <v>23</v>
      </c>
      <c r="AI12" s="11" t="s">
        <v>17</v>
      </c>
      <c r="AJ12" s="11" t="s">
        <v>66</v>
      </c>
      <c r="AK12" s="68" t="s">
        <v>27</v>
      </c>
      <c r="AL12" s="70" t="s">
        <v>53</v>
      </c>
      <c r="AM12" s="72" t="s">
        <v>62</v>
      </c>
      <c r="AN12" s="72" t="s">
        <v>62</v>
      </c>
      <c r="AO12" s="11" t="s">
        <v>55</v>
      </c>
      <c r="AQ12" s="57" t="s">
        <v>23</v>
      </c>
      <c r="AR12" s="11" t="s">
        <v>17</v>
      </c>
      <c r="AS12" s="11" t="s">
        <v>66</v>
      </c>
      <c r="AT12" s="8" t="s">
        <v>27</v>
      </c>
      <c r="AU12" s="70" t="s">
        <v>53</v>
      </c>
      <c r="AV12" s="13" t="s">
        <v>177</v>
      </c>
      <c r="AW12" s="3" t="s">
        <v>62</v>
      </c>
      <c r="AX12" s="13" t="s">
        <v>55</v>
      </c>
      <c r="AZ12" s="13" t="s">
        <v>55</v>
      </c>
    </row>
    <row r="13" spans="1:52" ht="17.25" x14ac:dyDescent="0.25">
      <c r="A13" s="14">
        <v>1</v>
      </c>
      <c r="B13" s="47" t="s">
        <v>11</v>
      </c>
      <c r="C13" s="7" t="s">
        <v>9</v>
      </c>
      <c r="D13" s="8" t="s">
        <v>45</v>
      </c>
      <c r="E13" s="14" t="s">
        <v>46</v>
      </c>
      <c r="F13" s="37">
        <v>45291</v>
      </c>
      <c r="G13" s="41">
        <v>0.68888888888888899</v>
      </c>
      <c r="H13" s="8">
        <v>-18</v>
      </c>
      <c r="I13" s="8">
        <v>84</v>
      </c>
      <c r="J13" s="8" t="s">
        <v>18</v>
      </c>
      <c r="K13" s="8">
        <v>32</v>
      </c>
      <c r="L13" s="38">
        <f>+((101325*(1-(2.25577*10^-5)*(K13))^5.25588))</f>
        <v>100941.16925190832</v>
      </c>
      <c r="M13" s="8">
        <f t="shared" ref="M13" si="0">+L13/100000</f>
        <v>1.0094116925190832</v>
      </c>
      <c r="N13" s="8" t="s">
        <v>10</v>
      </c>
      <c r="O13" s="8">
        <f>_xll.HumidairTdbRHPsi(H13,I13,M13,N13)</f>
        <v>6.5004219887533719E-4</v>
      </c>
      <c r="P13" s="22">
        <f t="shared" ref="P13" si="1">+O13*1000</f>
        <v>0.65004219887533721</v>
      </c>
      <c r="Q13" s="50">
        <v>0.65004219887533721</v>
      </c>
      <c r="R13" s="23"/>
      <c r="S13" s="11" t="s">
        <v>21</v>
      </c>
      <c r="T13" s="26">
        <f>_xll.HumidairTdbRHPsi(H13,I13,M13,S13)</f>
        <v>-16.498721741236743</v>
      </c>
      <c r="U13" s="54">
        <v>-16.498721741236743</v>
      </c>
      <c r="W13" s="11" t="s">
        <v>24</v>
      </c>
      <c r="X13" s="27">
        <f>_xll.HumidairTdbRHPsi(H13,I13,M13,W13)</f>
        <v>0.72497392889310353</v>
      </c>
      <c r="Y13" s="27">
        <v>418.06</v>
      </c>
      <c r="Z13" s="22">
        <v>0.63</v>
      </c>
      <c r="AA13" s="27">
        <v>0.83299999999999996</v>
      </c>
      <c r="AB13" s="60">
        <v>0</v>
      </c>
      <c r="AC13" s="48"/>
      <c r="AD13" s="48"/>
      <c r="AE13" s="34"/>
      <c r="AF13" s="34"/>
      <c r="AG13" s="34"/>
      <c r="AH13" s="27">
        <v>0.72497392889310353</v>
      </c>
      <c r="AI13" s="8">
        <v>1.0629999999999999E-3</v>
      </c>
      <c r="AJ13" s="22">
        <v>2.0289999999999999</v>
      </c>
      <c r="AK13" s="60">
        <v>0</v>
      </c>
      <c r="AL13" s="10"/>
      <c r="AN13" s="34"/>
      <c r="AO13" s="34"/>
      <c r="AQ13" s="58">
        <v>0.72497392889310353</v>
      </c>
      <c r="AR13" s="73">
        <v>5.1099999999999995E-4</v>
      </c>
      <c r="AS13" s="22">
        <v>0.88</v>
      </c>
      <c r="AT13" s="60">
        <v>0</v>
      </c>
      <c r="AU13" s="7"/>
      <c r="AV13" s="7"/>
      <c r="AW13" s="7"/>
      <c r="AX13" s="7"/>
      <c r="AY13" s="7"/>
      <c r="AZ13" s="7"/>
    </row>
    <row r="14" spans="1:52" x14ac:dyDescent="0.25">
      <c r="A14" s="14">
        <v>2</v>
      </c>
      <c r="B14" s="46" t="s">
        <v>12</v>
      </c>
      <c r="C14" s="43" t="s">
        <v>31</v>
      </c>
      <c r="D14" s="8" t="s">
        <v>38</v>
      </c>
      <c r="E14" s="8" t="s">
        <v>39</v>
      </c>
      <c r="F14" s="40">
        <v>45291</v>
      </c>
      <c r="G14" s="41">
        <v>0.94305555555555554</v>
      </c>
      <c r="H14" s="8">
        <v>8</v>
      </c>
      <c r="I14" s="8">
        <v>87</v>
      </c>
      <c r="J14" s="8" t="s">
        <v>35</v>
      </c>
      <c r="K14" s="42">
        <v>9</v>
      </c>
      <c r="L14" s="38">
        <f>+((101325*(1-(2.25577*10^-5)*(K14))^5.25588))</f>
        <v>101216.9283556498</v>
      </c>
      <c r="M14" s="8">
        <f t="shared" ref="M14:M16" si="2">+L14/100000</f>
        <v>1.0121692835564979</v>
      </c>
      <c r="N14" s="8" t="s">
        <v>10</v>
      </c>
      <c r="O14" s="8">
        <f>_xll.HumidairTdbRHPsi(H14,I14,M14,N14)</f>
        <v>5.8119220889798979E-3</v>
      </c>
      <c r="P14" s="22">
        <f t="shared" ref="P14:P16" si="3">+O14*1000</f>
        <v>5.8119220889798981</v>
      </c>
      <c r="Q14" s="50">
        <v>5.8119220889798981</v>
      </c>
      <c r="R14" s="49"/>
      <c r="S14" s="8" t="s">
        <v>21</v>
      </c>
      <c r="T14" s="26">
        <f>_xll.HumidairTdbRHPsi(H14,I14,M14,S14)</f>
        <v>22.662438766380042</v>
      </c>
      <c r="U14" s="54">
        <v>22.662438766380042</v>
      </c>
      <c r="W14" s="8" t="s">
        <v>24</v>
      </c>
      <c r="X14" s="27">
        <f>_xll.HumidairTdbRHPsi(H14,I14,M14,W14)</f>
        <v>0.79696580368637304</v>
      </c>
      <c r="Y14" s="105">
        <f>+Y13*(X13/X14)</f>
        <v>380.2956153339822</v>
      </c>
      <c r="Z14" s="106">
        <f t="shared" ref="Z14:Z16" si="4">+(Y14/1000000)*(44*(34.4827586206897))</f>
        <v>0.57700024395500826</v>
      </c>
      <c r="AA14" s="106">
        <v>0.83299999999999996</v>
      </c>
      <c r="AB14" s="107">
        <v>26</v>
      </c>
      <c r="AC14" s="108">
        <f>+(Z14/1000)*AA14*AB14</f>
        <v>1.2496671283577569E-2</v>
      </c>
      <c r="AD14" s="109">
        <f>22.7+16.5</f>
        <v>39.200000000000003</v>
      </c>
      <c r="AE14" s="106">
        <f>+AD14/AB14</f>
        <v>1.5076923076923079</v>
      </c>
      <c r="AF14" s="108">
        <f>+AC14/AE14</f>
        <v>8.2886085044136925E-3</v>
      </c>
      <c r="AG14" s="110"/>
      <c r="AH14" s="104">
        <v>0.79696580368637304</v>
      </c>
      <c r="AI14" s="111">
        <f>+(X13/X14)*AI13</f>
        <v>9.6697660407602502E-4</v>
      </c>
      <c r="AJ14" s="106">
        <v>2.0289999999999999</v>
      </c>
      <c r="AK14" s="107">
        <v>26</v>
      </c>
      <c r="AL14" s="112">
        <f t="shared" ref="AL14:AL16" si="5">+AI14*AJ14*AK14/1000</f>
        <v>5.1011883771426616E-5</v>
      </c>
      <c r="AM14" s="109">
        <f>22.7+16.5</f>
        <v>39.200000000000003</v>
      </c>
      <c r="AN14" s="106">
        <f>+AM14/AK14</f>
        <v>1.5076923076923079</v>
      </c>
      <c r="AO14" s="113">
        <f>+AL14/AN14</f>
        <v>3.3834412705538054E-5</v>
      </c>
      <c r="AP14" s="110"/>
      <c r="AQ14" s="114">
        <v>0.79696580368637304</v>
      </c>
      <c r="AR14" s="115">
        <f>+(AQ13/AQ14)*AR13</f>
        <v>4.648401172933667E-4</v>
      </c>
      <c r="AS14" s="106">
        <v>0.88</v>
      </c>
      <c r="AT14" s="107">
        <v>26</v>
      </c>
      <c r="AU14" s="116">
        <v>1.0635541883672229E-5</v>
      </c>
      <c r="AV14" s="117">
        <f>22.7+16.5</f>
        <v>39.200000000000003</v>
      </c>
      <c r="AW14" s="27">
        <f>+AV14/AT14</f>
        <v>1.5076923076923079</v>
      </c>
      <c r="AX14" s="91">
        <f>+AU14/AW14</f>
        <v>7.0541859432519877E-6</v>
      </c>
      <c r="AY14" s="3"/>
      <c r="AZ14" s="91">
        <f>+AX14+AO14+AF14</f>
        <v>8.3294971030624821E-3</v>
      </c>
    </row>
    <row r="15" spans="1:52" x14ac:dyDescent="0.25">
      <c r="A15" s="3">
        <v>3</v>
      </c>
      <c r="B15" s="12"/>
      <c r="C15" s="43" t="s">
        <v>33</v>
      </c>
      <c r="D15" s="8" t="s">
        <v>40</v>
      </c>
      <c r="E15" s="8" t="s">
        <v>41</v>
      </c>
      <c r="F15" s="40">
        <v>45291</v>
      </c>
      <c r="G15" s="41">
        <v>0.61111111111111105</v>
      </c>
      <c r="H15" s="8">
        <v>3</v>
      </c>
      <c r="I15" s="8">
        <v>50</v>
      </c>
      <c r="J15" s="8" t="s">
        <v>34</v>
      </c>
      <c r="K15" s="8">
        <v>1839</v>
      </c>
      <c r="L15" s="38">
        <f>+((101325*(1-(2.25577*10^-5)*(K15))^5.25588))</f>
        <v>81097.229913725445</v>
      </c>
      <c r="M15" s="8">
        <f t="shared" si="2"/>
        <v>0.81097229913725444</v>
      </c>
      <c r="N15" s="8" t="s">
        <v>10</v>
      </c>
      <c r="O15" s="8">
        <f>_xll.HumidairTdbRHPsi(H15,I15,M15,N15)</f>
        <v>2.9300780582635542E-3</v>
      </c>
      <c r="P15" s="22">
        <f t="shared" si="3"/>
        <v>2.9300780582635539</v>
      </c>
      <c r="Q15" s="50">
        <v>2.9300780582635539</v>
      </c>
      <c r="R15" s="49"/>
      <c r="S15" s="8" t="s">
        <v>21</v>
      </c>
      <c r="T15" s="26">
        <f>_xll.HumidairTdbRHPsi(H15,I15,M15,S15)</f>
        <v>10.414571359649502</v>
      </c>
      <c r="U15" s="54">
        <v>10.414571359649502</v>
      </c>
      <c r="W15" s="8" t="s">
        <v>24</v>
      </c>
      <c r="X15" s="27">
        <f>_xll.HumidairTdbRHPsi(H15,I15,M15,W15)</f>
        <v>0.97704475774350696</v>
      </c>
      <c r="Y15" s="23">
        <f>+Y13*(X13/X15)</f>
        <v>310.20339478922403</v>
      </c>
      <c r="Z15" s="22">
        <f t="shared" si="4"/>
        <v>0.47065342657675435</v>
      </c>
      <c r="AA15" s="22">
        <v>0.83299999999999996</v>
      </c>
      <c r="AB15" s="60">
        <v>21</v>
      </c>
      <c r="AC15" s="62">
        <f t="shared" ref="AC15:AC16" si="6">+(Z15/1000)*AA15*AB15</f>
        <v>8.2331403911071639E-3</v>
      </c>
      <c r="AD15" s="26">
        <f>16.5+10.4</f>
        <v>26.9</v>
      </c>
      <c r="AE15" s="22">
        <f t="shared" ref="AE15:AE16" si="7">+AD15/AB15</f>
        <v>1.2809523809523808</v>
      </c>
      <c r="AF15" s="62">
        <f t="shared" ref="AF15:AF16" si="8">+AC15/AE15</f>
        <v>6.4273586696375635E-3</v>
      </c>
      <c r="AG15" s="35"/>
      <c r="AH15" s="27">
        <v>0.97704475774350696</v>
      </c>
      <c r="AI15" s="88">
        <f>+(X13/X15)*AI13</f>
        <v>7.8875330971856948E-4</v>
      </c>
      <c r="AJ15" s="22">
        <v>2.0289999999999999</v>
      </c>
      <c r="AK15" s="60">
        <v>21</v>
      </c>
      <c r="AL15" s="61">
        <f t="shared" si="5"/>
        <v>3.3607989773798523E-5</v>
      </c>
      <c r="AM15" s="26">
        <f>16.5+10.4</f>
        <v>26.9</v>
      </c>
      <c r="AN15" s="22">
        <f t="shared" ref="AN15:AN16" si="9">+AM15/AK15</f>
        <v>1.2809523809523808</v>
      </c>
      <c r="AO15" s="63">
        <f t="shared" ref="AO15:AO16" si="10">+AL15/AN15</f>
        <v>2.6236720641255356E-5</v>
      </c>
      <c r="AQ15" s="58">
        <v>0.97704475774350696</v>
      </c>
      <c r="AR15" s="73">
        <f>+(AQ13/AQ15)*AR13</f>
        <v>3.791655138910527E-4</v>
      </c>
      <c r="AS15" s="22">
        <v>0.88</v>
      </c>
      <c r="AT15" s="60">
        <v>21</v>
      </c>
      <c r="AU15" s="93">
        <v>7.0069786967066531E-6</v>
      </c>
      <c r="AV15" s="26">
        <f>16.5+10.4</f>
        <v>26.9</v>
      </c>
      <c r="AW15" s="22">
        <f t="shared" ref="AW15:AW16" si="11">+AV15/AT15</f>
        <v>1.2809523809523808</v>
      </c>
      <c r="AX15" s="92">
        <f t="shared" ref="AX15:AX16" si="12">+AU15/AW15</f>
        <v>5.4701320680609561E-6</v>
      </c>
      <c r="AY15" s="3"/>
      <c r="AZ15" s="92">
        <f t="shared" ref="AZ15:AZ16" si="13">+AX15+AO15+AF15</f>
        <v>6.4590655223468801E-3</v>
      </c>
    </row>
    <row r="16" spans="1:52" x14ac:dyDescent="0.25">
      <c r="A16" s="3">
        <v>4</v>
      </c>
      <c r="B16" s="12"/>
      <c r="C16" s="43" t="s">
        <v>32</v>
      </c>
      <c r="D16" s="8" t="s">
        <v>42</v>
      </c>
      <c r="E16" s="8" t="s">
        <v>43</v>
      </c>
      <c r="F16" s="40">
        <v>45291</v>
      </c>
      <c r="G16" s="44">
        <v>0.69097222222222221</v>
      </c>
      <c r="H16" s="8">
        <v>4</v>
      </c>
      <c r="I16" s="8">
        <v>41</v>
      </c>
      <c r="J16" s="8" t="s">
        <v>18</v>
      </c>
      <c r="K16" s="8">
        <v>45</v>
      </c>
      <c r="L16" s="38">
        <f>+((101325*(1-(2.25577*10^-5)*(K16))^5.25588))</f>
        <v>100785.57471434522</v>
      </c>
      <c r="M16" s="8">
        <f t="shared" si="2"/>
        <v>1.0078557471434522</v>
      </c>
      <c r="N16" s="8" t="s">
        <v>10</v>
      </c>
      <c r="O16" s="8">
        <f>_xll.HumidairTdbRHPsi(H16,I16,M16,N16)</f>
        <v>2.0732391583900122E-3</v>
      </c>
      <c r="P16" s="22">
        <f t="shared" si="3"/>
        <v>2.0732391583900123</v>
      </c>
      <c r="Q16" s="50">
        <v>2.0732662240236306</v>
      </c>
      <c r="S16" s="8" t="s">
        <v>21</v>
      </c>
      <c r="T16" s="26">
        <f>_xll.HumidairTdbRHPsi(H16,I16,M16,S16)</f>
        <v>9.2235805938026463</v>
      </c>
      <c r="U16" s="54">
        <v>9.2236520256431316</v>
      </c>
      <c r="W16" s="8" t="s">
        <v>24</v>
      </c>
      <c r="X16" s="22">
        <f>_xll.HumidairTdbRHPsi(H16,I16,M16,W16)</f>
        <v>0.78895347562660478</v>
      </c>
      <c r="Y16" s="23">
        <f>+Y13*(X13/X16)</f>
        <v>384.15776097866325</v>
      </c>
      <c r="Z16" s="22">
        <f t="shared" si="4"/>
        <v>0.58286005114004158</v>
      </c>
      <c r="AA16" s="22">
        <v>0.83299999999999996</v>
      </c>
      <c r="AB16" s="60">
        <v>22</v>
      </c>
      <c r="AC16" s="62">
        <f t="shared" si="6"/>
        <v>1.0681493297192401E-2</v>
      </c>
      <c r="AD16" s="26">
        <f>16.5+9.2</f>
        <v>25.7</v>
      </c>
      <c r="AE16" s="22">
        <f t="shared" si="7"/>
        <v>1.1681818181818182</v>
      </c>
      <c r="AF16" s="62">
        <f t="shared" si="8"/>
        <v>9.1436907602425229E-3</v>
      </c>
      <c r="AG16" s="35"/>
      <c r="AH16" s="22">
        <v>0.78896378086991625</v>
      </c>
      <c r="AI16" s="88">
        <f>+(X13/X16)*AI13</f>
        <v>9.7679687107190129E-4</v>
      </c>
      <c r="AJ16" s="22">
        <v>2.0289999999999999</v>
      </c>
      <c r="AK16" s="60">
        <v>22</v>
      </c>
      <c r="AL16" s="61">
        <f t="shared" si="5"/>
        <v>4.3602258730907521E-5</v>
      </c>
      <c r="AM16" s="26">
        <f>16.5+9.2</f>
        <v>25.7</v>
      </c>
      <c r="AN16" s="22">
        <f t="shared" si="9"/>
        <v>1.1681818181818182</v>
      </c>
      <c r="AO16" s="63">
        <f t="shared" si="10"/>
        <v>3.7324890742411109E-5</v>
      </c>
      <c r="AQ16" s="59">
        <v>0.78896378086991625</v>
      </c>
      <c r="AR16" s="73">
        <f>+(AQ13/AQ16)*AR13</f>
        <v>4.6955473324251034E-4</v>
      </c>
      <c r="AS16" s="22">
        <v>0.88</v>
      </c>
      <c r="AT16" s="60">
        <v>22</v>
      </c>
      <c r="AU16" s="93">
        <v>9.0905796355750005E-6</v>
      </c>
      <c r="AV16" s="26">
        <f>16.5+9.2</f>
        <v>25.7</v>
      </c>
      <c r="AW16" s="22">
        <f t="shared" si="11"/>
        <v>1.1681818181818182</v>
      </c>
      <c r="AX16" s="92">
        <f t="shared" si="12"/>
        <v>7.7818191432937742E-6</v>
      </c>
      <c r="AY16" s="3"/>
      <c r="AZ16" s="92">
        <f t="shared" si="13"/>
        <v>9.1887974701282283E-3</v>
      </c>
    </row>
    <row r="17" spans="1:52" x14ac:dyDescent="0.25">
      <c r="A17" s="3"/>
      <c r="D17" s="3"/>
      <c r="E17" s="3"/>
      <c r="F17" s="94"/>
      <c r="G17" s="31"/>
      <c r="H17" s="3"/>
      <c r="I17" s="3"/>
      <c r="J17" s="3"/>
      <c r="K17" s="3"/>
      <c r="L17" s="36"/>
      <c r="M17" s="3"/>
      <c r="N17" s="3"/>
      <c r="O17" s="3"/>
      <c r="P17" s="23"/>
      <c r="Q17" s="95"/>
      <c r="S17" s="3"/>
      <c r="T17" s="16"/>
      <c r="U17" s="96"/>
      <c r="W17" s="3"/>
      <c r="X17" s="23"/>
      <c r="Y17" s="23"/>
      <c r="Z17" s="23"/>
      <c r="AA17" s="23"/>
      <c r="AB17" s="97"/>
      <c r="AC17" s="98"/>
      <c r="AD17" s="16"/>
      <c r="AE17" s="23"/>
      <c r="AF17" s="98"/>
      <c r="AG17" s="35"/>
      <c r="AH17" s="23"/>
      <c r="AI17" s="99"/>
      <c r="AJ17" s="23"/>
      <c r="AK17" s="97"/>
      <c r="AL17" s="100"/>
      <c r="AM17" s="16"/>
      <c r="AN17" s="23"/>
      <c r="AO17" s="101"/>
      <c r="AQ17" s="23"/>
      <c r="AR17" s="99"/>
      <c r="AS17" s="23"/>
      <c r="AT17" s="97"/>
      <c r="AU17" s="102"/>
      <c r="AV17" s="16"/>
      <c r="AW17" s="23"/>
      <c r="AX17" s="103"/>
      <c r="AY17" s="3"/>
      <c r="AZ17" s="103"/>
    </row>
    <row r="18" spans="1:52" x14ac:dyDescent="0.25">
      <c r="A18" s="3"/>
      <c r="D18" s="3"/>
      <c r="E18" s="3"/>
      <c r="F18" s="94"/>
      <c r="G18" s="31"/>
      <c r="H18" s="3"/>
      <c r="I18" s="3"/>
      <c r="J18" s="3"/>
      <c r="K18" s="3"/>
      <c r="L18" s="36"/>
      <c r="M18" s="3"/>
      <c r="N18" s="3"/>
      <c r="O18" s="3"/>
      <c r="P18" s="23"/>
      <c r="Q18" s="95"/>
      <c r="S18" s="3"/>
      <c r="T18" s="16"/>
      <c r="U18" s="96"/>
      <c r="W18" s="3"/>
      <c r="X18" s="23"/>
      <c r="Y18" s="23"/>
      <c r="Z18" s="23"/>
      <c r="AA18" s="23"/>
      <c r="AB18" s="97"/>
      <c r="AC18" s="98"/>
      <c r="AD18" s="16"/>
      <c r="AE18" s="23"/>
      <c r="AF18" s="98"/>
      <c r="AG18" s="35"/>
      <c r="AH18" s="23"/>
      <c r="AI18" s="99"/>
      <c r="AJ18" s="23"/>
      <c r="AK18" s="97"/>
      <c r="AL18" s="100"/>
      <c r="AM18" s="16"/>
      <c r="AN18" s="23"/>
      <c r="AO18" s="101"/>
      <c r="AQ18" s="23"/>
      <c r="AR18" s="99"/>
      <c r="AS18" s="23"/>
      <c r="AT18" s="97"/>
      <c r="AU18" s="102"/>
      <c r="AV18" s="16"/>
      <c r="AW18" s="23"/>
      <c r="AX18" s="103"/>
      <c r="AY18" s="3"/>
      <c r="AZ18" s="103"/>
    </row>
    <row r="19" spans="1:52" x14ac:dyDescent="0.25">
      <c r="A19" s="3"/>
      <c r="B19" t="s">
        <v>29</v>
      </c>
      <c r="C19" s="43" t="s">
        <v>31</v>
      </c>
      <c r="D19" s="8" t="s">
        <v>38</v>
      </c>
      <c r="E19" s="8" t="s">
        <v>39</v>
      </c>
      <c r="F19" s="40">
        <v>45291</v>
      </c>
      <c r="G19" s="41">
        <v>0.94305555555555554</v>
      </c>
      <c r="H19" s="8">
        <v>8</v>
      </c>
      <c r="I19" s="8">
        <v>87</v>
      </c>
      <c r="J19" s="8" t="s">
        <v>35</v>
      </c>
      <c r="K19" s="42">
        <v>9</v>
      </c>
      <c r="L19" s="38">
        <f>+((101325*(1-(2.25577*10^-5)*(K19))^5.25588))</f>
        <v>101216.9283556498</v>
      </c>
      <c r="M19" s="8">
        <f t="shared" ref="M19" si="14">+L19/100000</f>
        <v>1.0121692835564979</v>
      </c>
      <c r="N19" s="8" t="s">
        <v>10</v>
      </c>
      <c r="O19" s="8">
        <f>_xll.HumidairTdbRHPsi(H19,I19,M19,N19)</f>
        <v>5.8119220889798979E-3</v>
      </c>
      <c r="P19" s="22">
        <f t="shared" ref="P19" si="15">+O19*1000</f>
        <v>5.8119220889798981</v>
      </c>
      <c r="Q19" s="50">
        <v>5.8119220889798981</v>
      </c>
      <c r="R19" s="49"/>
      <c r="S19" s="8" t="s">
        <v>21</v>
      </c>
      <c r="T19" s="26">
        <f>_xll.HumidairTdbRHPsi(H19,I19,M19,S19)</f>
        <v>22.662438766380042</v>
      </c>
      <c r="U19" s="54">
        <v>22.662438766380042</v>
      </c>
      <c r="W19" s="8" t="s">
        <v>24</v>
      </c>
      <c r="X19" s="27">
        <f>_xll.HumidairTdbRHPsi(H19,I19,M19,W19)</f>
        <v>0.79696580368637304</v>
      </c>
      <c r="Y19" s="23">
        <f>+Y13*(X13/X14)</f>
        <v>380.2956153339822</v>
      </c>
      <c r="Z19" s="22">
        <f t="shared" ref="Z19" si="16">+(Y19/1000000)*(44*(34.4827586206897))</f>
        <v>0.57700024395500826</v>
      </c>
      <c r="AA19" s="22">
        <v>0.83299999999999996</v>
      </c>
      <c r="AB19" s="60">
        <v>26</v>
      </c>
      <c r="AC19" s="62">
        <f>+(Z19/1000)*AA19*AB19</f>
        <v>1.2496671283577569E-2</v>
      </c>
      <c r="AD19" s="26">
        <f>22.7+16.5</f>
        <v>39.200000000000003</v>
      </c>
      <c r="AE19" s="22">
        <f>+AD19/AB19</f>
        <v>1.5076923076923079</v>
      </c>
      <c r="AF19" s="62">
        <f>+AC19/AE19</f>
        <v>8.2886085044136925E-3</v>
      </c>
      <c r="AH19" s="27">
        <v>0.79696580368637304</v>
      </c>
      <c r="AI19" s="88">
        <f>+(X18/X19)*AI18</f>
        <v>0</v>
      </c>
      <c r="AJ19" s="22">
        <v>2.0289999999999999</v>
      </c>
      <c r="AK19" s="60">
        <v>26</v>
      </c>
      <c r="AL19" s="61">
        <f t="shared" ref="AL19" si="17">+AI19*AJ19*AK19/1000</f>
        <v>0</v>
      </c>
      <c r="AM19" s="26">
        <f>22.7+16.5</f>
        <v>39.200000000000003</v>
      </c>
      <c r="AN19" s="22">
        <f>+AM19/AK19</f>
        <v>1.5076923076923079</v>
      </c>
      <c r="AO19" s="63">
        <f>+AL19/AN19</f>
        <v>0</v>
      </c>
      <c r="AQ19" s="58">
        <v>0.79696580368637304</v>
      </c>
      <c r="AR19" s="73">
        <f>+(AQ18/AQ19)*AR18</f>
        <v>0</v>
      </c>
      <c r="AS19" s="22">
        <v>0.88</v>
      </c>
      <c r="AT19" s="60">
        <v>26</v>
      </c>
      <c r="AU19" s="93">
        <v>1.0635541883672229E-5</v>
      </c>
      <c r="AV19" s="39">
        <f>22.7+16.5</f>
        <v>39.200000000000003</v>
      </c>
      <c r="AW19" s="27">
        <f>+AV19/AT19</f>
        <v>1.5076923076923079</v>
      </c>
      <c r="AX19" s="91">
        <f>+AU19/AW19</f>
        <v>7.0541859432519877E-6</v>
      </c>
      <c r="AY19" s="3"/>
      <c r="AZ19" s="91">
        <f>+AX19+AO19+AF19</f>
        <v>8.295662690356944E-3</v>
      </c>
    </row>
    <row r="20" spans="1:52" x14ac:dyDescent="0.25">
      <c r="A20" s="3"/>
      <c r="D20" s="3"/>
      <c r="E20" s="3"/>
      <c r="F20" s="94"/>
      <c r="G20" s="31"/>
      <c r="H20" s="3"/>
      <c r="I20" s="3"/>
      <c r="J20" s="3"/>
      <c r="K20" s="3"/>
      <c r="L20" s="36"/>
      <c r="M20" s="3"/>
      <c r="N20" s="3"/>
      <c r="O20" s="3"/>
      <c r="P20" s="23"/>
      <c r="Q20" s="95"/>
      <c r="S20" s="3"/>
      <c r="T20" s="16"/>
      <c r="U20" s="96"/>
      <c r="W20" s="3"/>
      <c r="X20" s="23"/>
      <c r="Y20" s="23"/>
      <c r="Z20" s="23"/>
      <c r="AA20" s="23"/>
      <c r="AB20" s="97"/>
      <c r="AC20" s="98"/>
      <c r="AD20" s="16"/>
      <c r="AE20" s="23"/>
      <c r="AF20" s="98"/>
      <c r="AG20" s="35"/>
      <c r="AH20" s="23"/>
      <c r="AI20" s="99"/>
      <c r="AJ20" s="23"/>
      <c r="AK20" s="97"/>
      <c r="AL20" s="100"/>
      <c r="AM20" s="16"/>
      <c r="AN20" s="23"/>
      <c r="AO20" s="101"/>
      <c r="AQ20" s="23"/>
      <c r="AR20" s="99"/>
      <c r="AS20" s="23"/>
      <c r="AT20" s="97"/>
      <c r="AU20" s="102"/>
      <c r="AV20" s="16"/>
      <c r="AW20" s="23"/>
      <c r="AX20" s="103"/>
      <c r="AY20" s="3"/>
      <c r="AZ20" s="103"/>
    </row>
    <row r="21" spans="1:52" x14ac:dyDescent="0.25">
      <c r="A21" s="3"/>
      <c r="W21" s="124" t="s">
        <v>183</v>
      </c>
      <c r="X21" s="125"/>
      <c r="Y21" s="125"/>
      <c r="Z21" s="125"/>
      <c r="AA21" s="125"/>
      <c r="AB21" s="125"/>
      <c r="AC21" s="125"/>
      <c r="AD21" s="125"/>
      <c r="AE21" s="125"/>
      <c r="AF21" s="126"/>
      <c r="AG21" s="35"/>
      <c r="AH21" s="23"/>
      <c r="AI21" s="99"/>
      <c r="AJ21" s="23"/>
      <c r="AK21" s="97"/>
      <c r="AL21" s="100"/>
      <c r="AM21" s="16"/>
      <c r="AN21" s="23"/>
      <c r="AO21" s="101"/>
      <c r="AQ21" s="23"/>
      <c r="AR21" s="99"/>
      <c r="AS21" s="23"/>
      <c r="AT21" s="97"/>
      <c r="AU21" s="102"/>
      <c r="AV21" s="16"/>
      <c r="AW21" s="23"/>
      <c r="AX21" s="103"/>
      <c r="AY21" s="3"/>
      <c r="AZ21" s="103"/>
    </row>
    <row r="22" spans="1:52" x14ac:dyDescent="0.25">
      <c r="A22" s="3"/>
      <c r="C22" s="43" t="s">
        <v>31</v>
      </c>
      <c r="D22" s="8" t="s">
        <v>38</v>
      </c>
      <c r="E22" s="8" t="s">
        <v>39</v>
      </c>
      <c r="F22" s="40">
        <v>45291</v>
      </c>
      <c r="G22" s="41">
        <v>0.94305555555555554</v>
      </c>
      <c r="H22" s="8">
        <v>8</v>
      </c>
      <c r="I22" s="8">
        <v>87</v>
      </c>
      <c r="J22" s="8" t="s">
        <v>35</v>
      </c>
      <c r="K22" s="42">
        <v>9</v>
      </c>
      <c r="L22" s="38">
        <f>+((101325*(1-(2.25577*10^-5)*(K22))^5.25588))</f>
        <v>101216.9283556498</v>
      </c>
      <c r="M22" s="8">
        <f t="shared" ref="M22" si="18">+L22/100000</f>
        <v>1.0121692835564979</v>
      </c>
      <c r="N22" s="8" t="s">
        <v>10</v>
      </c>
      <c r="O22" s="8">
        <f>_xll.HumidairTdbRHPsi(H22,I22,M22,N22)</f>
        <v>5.8119220889798979E-3</v>
      </c>
      <c r="P22" s="22">
        <f t="shared" ref="P22" si="19">+O22*1000</f>
        <v>5.8119220889798981</v>
      </c>
      <c r="Q22" s="50">
        <v>5.8119220889798981</v>
      </c>
      <c r="R22" s="49"/>
      <c r="S22" s="8" t="s">
        <v>21</v>
      </c>
      <c r="T22" s="26">
        <f>_xll.HumidairTdbRHPsi(H22,I22,M22,S22)</f>
        <v>22.662438766380042</v>
      </c>
      <c r="U22" s="54">
        <v>22.662438766380042</v>
      </c>
      <c r="W22" s="3"/>
      <c r="X22" s="27">
        <v>0.79696580368637304</v>
      </c>
      <c r="Y22" s="23">
        <v>380.2956153339822</v>
      </c>
      <c r="Z22" s="22">
        <v>0.57700024395500826</v>
      </c>
      <c r="AA22" s="23"/>
      <c r="AB22" s="97"/>
      <c r="AC22" s="98"/>
      <c r="AD22" s="16"/>
      <c r="AE22" s="23"/>
      <c r="AF22" s="98"/>
      <c r="AG22" s="35"/>
      <c r="AH22" s="23"/>
      <c r="AI22" s="99"/>
      <c r="AJ22" s="23"/>
      <c r="AK22" s="97"/>
      <c r="AL22" s="100"/>
      <c r="AM22" s="16"/>
      <c r="AN22" s="23"/>
      <c r="AO22" s="101"/>
      <c r="AQ22" s="23"/>
      <c r="AR22" s="99"/>
      <c r="AS22" s="23"/>
      <c r="AT22" s="97"/>
      <c r="AU22" s="102"/>
      <c r="AV22" s="16"/>
      <c r="AW22" s="23"/>
      <c r="AX22" s="103"/>
      <c r="AY22" s="3"/>
      <c r="AZ22" s="103"/>
    </row>
    <row r="23" spans="1:52" x14ac:dyDescent="0.25">
      <c r="A23" s="3"/>
      <c r="D23" s="3"/>
      <c r="E23" s="3"/>
      <c r="F23" s="94"/>
      <c r="G23" s="31"/>
      <c r="H23" s="3"/>
      <c r="I23" s="3"/>
      <c r="J23" s="3"/>
      <c r="K23" s="3"/>
      <c r="L23" s="36"/>
      <c r="M23" s="3"/>
      <c r="N23" s="3"/>
      <c r="O23" s="3"/>
      <c r="P23" s="23"/>
      <c r="Q23" s="95"/>
      <c r="S23" s="3"/>
      <c r="T23" s="16"/>
      <c r="U23" s="96"/>
      <c r="W23" s="3"/>
      <c r="X23" s="23"/>
      <c r="Y23" s="23"/>
      <c r="Z23" s="23"/>
      <c r="AA23" t="s">
        <v>184</v>
      </c>
      <c r="AB23" s="97"/>
      <c r="AC23" s="98"/>
      <c r="AD23" s="16"/>
      <c r="AE23" s="23"/>
      <c r="AF23" s="98"/>
      <c r="AG23" s="35"/>
      <c r="AH23" s="23"/>
      <c r="AI23" s="99"/>
      <c r="AJ23" s="23"/>
      <c r="AK23" s="97"/>
      <c r="AL23" s="100"/>
      <c r="AM23" s="16"/>
      <c r="AN23" s="23"/>
      <c r="AO23" s="101"/>
      <c r="AQ23" s="23"/>
      <c r="AR23" s="99"/>
      <c r="AS23" s="23"/>
      <c r="AT23" s="97"/>
      <c r="AU23" s="102"/>
      <c r="AV23" s="16"/>
      <c r="AW23" s="23"/>
      <c r="AX23" s="103"/>
      <c r="AY23" s="3"/>
      <c r="AZ23" s="103"/>
    </row>
    <row r="24" spans="1:52" x14ac:dyDescent="0.25">
      <c r="A24" s="3"/>
      <c r="D24" s="3"/>
      <c r="E24" s="3"/>
      <c r="F24" s="94"/>
      <c r="G24" s="31"/>
      <c r="H24" s="3"/>
      <c r="I24" s="3"/>
      <c r="J24" s="3"/>
      <c r="K24" s="3"/>
      <c r="L24" s="36"/>
      <c r="M24" s="3"/>
      <c r="N24" s="3"/>
      <c r="O24" s="3"/>
      <c r="P24" s="23"/>
      <c r="Q24" s="95"/>
      <c r="S24" s="3"/>
      <c r="T24" s="16"/>
      <c r="U24" s="96"/>
      <c r="W24" s="3"/>
      <c r="X24" s="23"/>
      <c r="Y24" s="23"/>
      <c r="Z24" s="23"/>
      <c r="AA24" s="23"/>
      <c r="AB24" s="97"/>
      <c r="AC24" s="98"/>
      <c r="AD24" s="16"/>
      <c r="AE24" s="23"/>
      <c r="AF24" s="98"/>
      <c r="AG24" s="35"/>
      <c r="AH24" s="23"/>
      <c r="AI24" s="99"/>
      <c r="AJ24" s="23"/>
      <c r="AK24" s="97"/>
      <c r="AL24" s="100"/>
      <c r="AM24" s="16"/>
      <c r="AN24" s="23"/>
      <c r="AO24" s="101"/>
      <c r="AQ24" s="23"/>
      <c r="AR24" s="99"/>
      <c r="AS24" s="23"/>
      <c r="AT24" s="97"/>
      <c r="AU24" s="102"/>
      <c r="AV24" s="16"/>
      <c r="AW24" s="23"/>
      <c r="AX24" s="103"/>
      <c r="AY24" s="3"/>
      <c r="AZ24" s="103"/>
    </row>
    <row r="25" spans="1:52" x14ac:dyDescent="0.25">
      <c r="A25" s="3"/>
      <c r="D25" s="3"/>
      <c r="E25" s="3"/>
      <c r="F25" s="94"/>
      <c r="G25" s="31"/>
      <c r="H25" s="3"/>
      <c r="I25" s="3"/>
      <c r="J25" s="3"/>
      <c r="K25" s="3"/>
      <c r="L25" s="36"/>
      <c r="M25" s="3"/>
      <c r="N25" s="3"/>
      <c r="O25" s="3"/>
      <c r="P25" s="23"/>
      <c r="Q25" s="95"/>
      <c r="S25" s="3"/>
      <c r="T25" s="16"/>
      <c r="U25" s="96"/>
      <c r="W25" s="3"/>
      <c r="X25" s="23"/>
      <c r="Y25" s="23"/>
      <c r="Z25" s="23"/>
      <c r="AA25" s="23"/>
      <c r="AB25" s="97"/>
      <c r="AC25" s="98"/>
      <c r="AD25" s="16"/>
      <c r="AE25" s="23"/>
      <c r="AF25" s="98"/>
      <c r="AG25" s="35"/>
      <c r="AH25" s="23"/>
      <c r="AI25" s="99"/>
      <c r="AJ25" s="23"/>
      <c r="AK25" s="97"/>
      <c r="AL25" s="100"/>
      <c r="AM25" s="16"/>
      <c r="AN25" s="23"/>
      <c r="AO25" s="101"/>
      <c r="AQ25" s="23"/>
      <c r="AR25" s="99"/>
      <c r="AS25" s="23"/>
      <c r="AT25" s="97"/>
      <c r="AU25" s="102"/>
      <c r="AV25" s="16"/>
      <c r="AW25" s="23"/>
      <c r="AX25" s="103"/>
      <c r="AY25" s="3"/>
      <c r="AZ25" s="103"/>
    </row>
    <row r="26" spans="1:52" x14ac:dyDescent="0.25">
      <c r="A26" s="3"/>
      <c r="D26" s="3"/>
      <c r="E26" s="3"/>
      <c r="F26" s="94"/>
      <c r="G26" s="31"/>
      <c r="H26" s="3"/>
      <c r="I26" s="3"/>
      <c r="J26" s="3"/>
      <c r="K26" s="3"/>
      <c r="L26" s="36"/>
      <c r="M26" s="3"/>
      <c r="N26" s="3"/>
      <c r="O26" s="3"/>
      <c r="P26" s="23"/>
      <c r="Q26" s="95"/>
      <c r="S26" s="3"/>
      <c r="T26" s="16"/>
      <c r="U26" s="96"/>
      <c r="W26" s="3"/>
      <c r="X26" s="23"/>
      <c r="Y26" s="23"/>
      <c r="Z26" s="23"/>
      <c r="AA26" s="23"/>
      <c r="AB26" s="97"/>
      <c r="AC26" s="98"/>
      <c r="AD26" s="16"/>
      <c r="AE26" s="23"/>
      <c r="AF26" s="98"/>
      <c r="AG26" s="35"/>
      <c r="AH26" s="23"/>
      <c r="AI26" s="99"/>
      <c r="AJ26" s="23"/>
      <c r="AK26" s="97"/>
      <c r="AL26" s="100"/>
      <c r="AM26" s="16"/>
      <c r="AN26" s="23"/>
      <c r="AO26" s="101"/>
      <c r="AQ26" s="23"/>
      <c r="AR26" s="99"/>
      <c r="AS26" s="23"/>
      <c r="AT26" s="97"/>
      <c r="AU26" s="102"/>
      <c r="AV26" s="16"/>
      <c r="AW26" s="23"/>
      <c r="AX26" s="103"/>
      <c r="AY26" s="3"/>
      <c r="AZ26" s="103"/>
    </row>
    <row r="27" spans="1:52" x14ac:dyDescent="0.25">
      <c r="A27" s="3"/>
      <c r="D27" s="3"/>
      <c r="E27" s="3"/>
      <c r="F27" s="94"/>
      <c r="G27" s="31"/>
      <c r="H27" s="3"/>
      <c r="I27" s="3"/>
      <c r="J27" s="3"/>
      <c r="K27" s="3"/>
      <c r="L27" s="36"/>
      <c r="M27" s="3"/>
      <c r="N27" s="3"/>
      <c r="O27" s="3"/>
      <c r="P27" s="23"/>
      <c r="Q27" s="95"/>
      <c r="S27" s="3"/>
      <c r="T27" s="16"/>
      <c r="U27" s="96"/>
      <c r="W27" s="3"/>
      <c r="X27" s="23"/>
      <c r="Y27" s="23"/>
      <c r="Z27" s="23"/>
      <c r="AA27" s="23"/>
      <c r="AB27" s="97"/>
      <c r="AC27" s="98"/>
      <c r="AD27" s="16"/>
      <c r="AE27" s="23"/>
      <c r="AF27" s="98"/>
      <c r="AG27" s="35"/>
      <c r="AH27" s="23"/>
      <c r="AI27" s="99"/>
      <c r="AJ27" s="23"/>
      <c r="AK27" s="97"/>
      <c r="AL27" s="100"/>
      <c r="AM27" s="16"/>
      <c r="AN27" s="23"/>
      <c r="AO27" s="101"/>
      <c r="AQ27" s="23"/>
      <c r="AR27" s="99"/>
      <c r="AS27" s="23"/>
      <c r="AT27" s="97"/>
      <c r="AU27" s="102"/>
      <c r="AV27" s="16"/>
      <c r="AW27" s="23"/>
      <c r="AX27" s="103"/>
      <c r="AY27" s="3"/>
      <c r="AZ27" s="103"/>
    </row>
    <row r="28" spans="1:52" x14ac:dyDescent="0.25">
      <c r="A28" s="3"/>
      <c r="D28" s="3"/>
      <c r="E28" s="3"/>
      <c r="F28" s="94"/>
      <c r="G28" s="31"/>
      <c r="H28" s="3"/>
      <c r="I28" s="3"/>
      <c r="J28" s="3"/>
      <c r="K28" s="3"/>
      <c r="L28" s="36"/>
      <c r="M28" s="3"/>
      <c r="N28" s="3"/>
      <c r="O28" s="3"/>
      <c r="P28" s="23"/>
      <c r="Q28" s="95"/>
      <c r="S28" s="3"/>
      <c r="T28" s="16"/>
      <c r="U28" s="96"/>
      <c r="W28" s="3"/>
      <c r="X28" s="23"/>
      <c r="Y28" s="23"/>
      <c r="Z28" s="23"/>
      <c r="AA28" s="23"/>
      <c r="AB28" s="97"/>
      <c r="AC28" s="98"/>
      <c r="AD28" s="16"/>
      <c r="AE28" s="23"/>
      <c r="AF28" s="98"/>
      <c r="AG28" s="35"/>
      <c r="AH28" s="23"/>
      <c r="AI28" s="99"/>
      <c r="AJ28" s="23"/>
      <c r="AK28" s="97"/>
      <c r="AL28" s="100"/>
      <c r="AM28" s="16"/>
      <c r="AN28" s="23"/>
      <c r="AO28" s="101"/>
      <c r="AQ28" s="23"/>
      <c r="AR28" s="99"/>
      <c r="AS28" s="23"/>
      <c r="AT28" s="97"/>
      <c r="AU28" s="102"/>
      <c r="AV28" s="16"/>
      <c r="AW28" s="23"/>
      <c r="AX28" s="103"/>
      <c r="AY28" s="3"/>
      <c r="AZ28" s="103"/>
    </row>
    <row r="29" spans="1:52" x14ac:dyDescent="0.25">
      <c r="A29" s="3"/>
      <c r="D29" s="3"/>
      <c r="E29" s="3"/>
      <c r="F29" s="94"/>
      <c r="G29" s="31"/>
      <c r="H29" s="3"/>
      <c r="I29" s="3"/>
      <c r="J29" s="3"/>
      <c r="K29" s="3"/>
      <c r="L29" s="36"/>
      <c r="M29" s="3"/>
      <c r="N29" s="3"/>
      <c r="O29" s="3"/>
      <c r="P29" s="23"/>
      <c r="Q29" s="95"/>
      <c r="S29" s="3"/>
      <c r="T29" s="16"/>
      <c r="U29" s="96"/>
      <c r="W29" s="3"/>
      <c r="X29" s="23"/>
      <c r="Y29" s="23"/>
      <c r="Z29" s="23"/>
      <c r="AA29" s="23"/>
      <c r="AB29" s="97"/>
      <c r="AC29" s="98"/>
      <c r="AD29" s="16"/>
      <c r="AE29" s="23"/>
      <c r="AF29" s="98"/>
      <c r="AG29" s="35"/>
      <c r="AH29" s="23"/>
      <c r="AI29" s="99"/>
      <c r="AJ29" s="23"/>
      <c r="AK29" s="97"/>
      <c r="AL29" s="100"/>
      <c r="AM29" s="16"/>
      <c r="AN29" s="23"/>
      <c r="AO29" s="101"/>
      <c r="AQ29" s="23"/>
      <c r="AR29" s="99"/>
      <c r="AS29" s="23"/>
      <c r="AT29" s="97"/>
      <c r="AU29" s="102"/>
      <c r="AV29" s="16"/>
      <c r="AW29" s="23"/>
      <c r="AX29" s="103"/>
      <c r="AY29" s="3"/>
      <c r="AZ29" s="103"/>
    </row>
    <row r="30" spans="1:52" x14ac:dyDescent="0.25">
      <c r="A30" s="3"/>
      <c r="D30" s="3"/>
      <c r="E30" s="3"/>
      <c r="F30" s="94"/>
      <c r="G30" s="31"/>
      <c r="H30" s="3"/>
      <c r="I30" s="3"/>
      <c r="J30" s="3"/>
      <c r="K30" s="3"/>
      <c r="L30" s="36"/>
      <c r="M30" s="3"/>
      <c r="N30" s="3"/>
      <c r="O30" s="3"/>
      <c r="P30" s="23"/>
      <c r="Q30" s="95"/>
      <c r="S30" s="3"/>
      <c r="T30" s="16"/>
      <c r="U30" s="96"/>
      <c r="W30" s="3"/>
      <c r="X30" s="23"/>
      <c r="Y30" s="23"/>
      <c r="Z30" s="23"/>
      <c r="AA30" s="23"/>
      <c r="AB30" s="97"/>
      <c r="AC30" s="98"/>
      <c r="AD30" s="16"/>
      <c r="AE30" s="23"/>
      <c r="AF30" s="98"/>
      <c r="AG30" s="35"/>
      <c r="AH30" s="23"/>
      <c r="AI30" s="99"/>
      <c r="AJ30" s="23"/>
      <c r="AK30" s="97"/>
      <c r="AL30" s="100"/>
      <c r="AM30" s="16"/>
      <c r="AN30" s="23"/>
      <c r="AO30" s="101"/>
      <c r="AQ30" s="23"/>
      <c r="AR30" s="99"/>
      <c r="AS30" s="23"/>
      <c r="AT30" s="97"/>
      <c r="AU30" s="102"/>
      <c r="AV30" s="16"/>
      <c r="AW30" s="23"/>
      <c r="AX30" s="103"/>
      <c r="AY30" s="3"/>
      <c r="AZ30" s="103"/>
    </row>
    <row r="31" spans="1:52" x14ac:dyDescent="0.25">
      <c r="A31" s="3"/>
      <c r="D31" s="3"/>
      <c r="E31" s="3"/>
      <c r="F31" s="94"/>
      <c r="G31" s="31"/>
      <c r="H31" s="3"/>
      <c r="I31" s="3"/>
      <c r="J31" s="3"/>
      <c r="K31" s="3"/>
      <c r="L31" s="36"/>
      <c r="M31" s="3"/>
      <c r="N31" s="3"/>
      <c r="O31" s="3"/>
      <c r="P31" s="23"/>
      <c r="Q31" s="95"/>
      <c r="S31" s="3"/>
      <c r="T31" s="16"/>
      <c r="U31" s="96"/>
      <c r="W31" s="3"/>
      <c r="X31" s="23"/>
      <c r="Y31" s="23"/>
      <c r="Z31" s="23"/>
      <c r="AA31" s="23"/>
      <c r="AB31" s="97"/>
      <c r="AC31" s="98"/>
      <c r="AD31" s="16"/>
      <c r="AE31" s="23"/>
      <c r="AF31" s="98"/>
      <c r="AG31" s="35"/>
      <c r="AH31" s="23"/>
      <c r="AI31" s="99"/>
      <c r="AJ31" s="23"/>
      <c r="AK31" s="97"/>
      <c r="AL31" s="100"/>
      <c r="AM31" s="16"/>
      <c r="AN31" s="23"/>
      <c r="AO31" s="101"/>
      <c r="AQ31" s="23"/>
      <c r="AR31" s="99"/>
      <c r="AS31" s="23"/>
      <c r="AT31" s="97"/>
      <c r="AU31" s="102"/>
      <c r="AV31" s="16"/>
      <c r="AW31" s="23"/>
      <c r="AX31" s="103"/>
      <c r="AY31" s="3"/>
      <c r="AZ31" s="103"/>
    </row>
    <row r="32" spans="1:52" x14ac:dyDescent="0.25">
      <c r="A32" s="3"/>
      <c r="D32" s="3"/>
      <c r="E32" s="3"/>
      <c r="F32" s="94"/>
      <c r="G32" s="31"/>
      <c r="H32" s="3"/>
      <c r="I32" s="3"/>
      <c r="J32" s="3"/>
      <c r="K32" s="3"/>
      <c r="L32" s="36"/>
      <c r="M32" s="3"/>
      <c r="N32" s="3"/>
      <c r="O32" s="3"/>
      <c r="P32" s="23"/>
      <c r="Q32" s="95"/>
      <c r="S32" s="3"/>
      <c r="T32" s="16"/>
      <c r="U32" s="96"/>
      <c r="W32" s="3"/>
      <c r="X32" s="23"/>
      <c r="Y32" s="23"/>
      <c r="Z32" s="23"/>
      <c r="AA32" s="23"/>
      <c r="AB32" s="97"/>
      <c r="AC32" s="98"/>
      <c r="AD32" s="16"/>
      <c r="AE32" s="23"/>
      <c r="AF32" s="98"/>
      <c r="AG32" s="35"/>
      <c r="AH32" s="23"/>
      <c r="AI32" s="99"/>
      <c r="AJ32" s="23"/>
      <c r="AK32" s="97"/>
      <c r="AL32" s="100"/>
      <c r="AM32" s="16"/>
      <c r="AN32" s="23"/>
      <c r="AO32" s="101"/>
      <c r="AQ32" s="23"/>
      <c r="AR32" s="99"/>
      <c r="AS32" s="23"/>
      <c r="AT32" s="97"/>
      <c r="AU32" s="102"/>
      <c r="AV32" s="16"/>
      <c r="AW32" s="23"/>
      <c r="AX32" s="103"/>
      <c r="AY32" s="3"/>
      <c r="AZ32" s="103"/>
    </row>
    <row r="33" spans="1:52" x14ac:dyDescent="0.25">
      <c r="A33" s="3"/>
      <c r="D33" s="3"/>
      <c r="E33" s="3"/>
      <c r="F33" s="94"/>
      <c r="G33" s="31"/>
      <c r="H33" s="3"/>
      <c r="I33" s="3"/>
      <c r="J33" s="3"/>
      <c r="K33" s="3"/>
      <c r="L33" s="36"/>
      <c r="M33" s="3"/>
      <c r="N33" s="3"/>
      <c r="O33" s="3"/>
      <c r="P33" s="23"/>
      <c r="Q33" s="95"/>
      <c r="S33" s="3"/>
      <c r="T33" s="16"/>
      <c r="U33" s="96"/>
      <c r="W33" s="3"/>
      <c r="X33" s="23"/>
      <c r="Y33" s="23"/>
      <c r="Z33" s="23"/>
      <c r="AA33" s="23"/>
      <c r="AB33" s="97"/>
      <c r="AC33" s="98"/>
      <c r="AD33" s="16"/>
      <c r="AE33" s="23"/>
      <c r="AF33" s="98"/>
      <c r="AG33" s="35"/>
      <c r="AH33" s="23"/>
      <c r="AI33" s="99"/>
      <c r="AJ33" s="23"/>
      <c r="AK33" s="97"/>
      <c r="AL33" s="100"/>
      <c r="AM33" s="16"/>
      <c r="AN33" s="23"/>
      <c r="AO33" s="101"/>
      <c r="AQ33" s="23"/>
      <c r="AR33" s="99"/>
      <c r="AS33" s="23"/>
      <c r="AT33" s="97"/>
      <c r="AU33" s="102"/>
      <c r="AV33" s="16"/>
      <c r="AW33" s="23"/>
      <c r="AX33" s="103"/>
      <c r="AY33" s="3"/>
      <c r="AZ33" s="103"/>
    </row>
    <row r="34" spans="1:52" x14ac:dyDescent="0.25">
      <c r="A34" s="3"/>
      <c r="D34" s="3"/>
      <c r="E34" s="3"/>
      <c r="F34" s="94"/>
      <c r="G34" s="31"/>
      <c r="H34" s="3"/>
      <c r="I34" s="3"/>
      <c r="J34" s="3"/>
      <c r="K34" s="3"/>
      <c r="L34" s="36"/>
      <c r="M34" s="3"/>
      <c r="N34" s="3"/>
      <c r="O34" s="3"/>
      <c r="P34" s="23"/>
      <c r="Q34" s="95"/>
      <c r="S34" s="3"/>
      <c r="T34" s="16"/>
      <c r="U34" s="96"/>
      <c r="W34" s="3"/>
      <c r="X34" s="23"/>
      <c r="Y34" s="23"/>
      <c r="Z34" s="23"/>
      <c r="AA34" s="23"/>
      <c r="AB34" s="97"/>
      <c r="AC34" s="98"/>
      <c r="AD34" s="16"/>
      <c r="AE34" s="23"/>
      <c r="AF34" s="98"/>
      <c r="AG34" s="35"/>
      <c r="AH34" s="23"/>
      <c r="AI34" s="99"/>
      <c r="AJ34" s="23"/>
      <c r="AK34" s="97"/>
      <c r="AL34" s="100"/>
      <c r="AM34" s="16"/>
      <c r="AN34" s="23"/>
      <c r="AO34" s="101"/>
      <c r="AQ34" s="23"/>
      <c r="AR34" s="99"/>
      <c r="AS34" s="23"/>
      <c r="AT34" s="97"/>
      <c r="AU34" s="102"/>
      <c r="AV34" s="16"/>
      <c r="AW34" s="23"/>
      <c r="AX34" s="103"/>
      <c r="AY34" s="3"/>
      <c r="AZ34" s="103"/>
    </row>
    <row r="35" spans="1:52" x14ac:dyDescent="0.25">
      <c r="A35" s="3"/>
      <c r="D35" s="3"/>
      <c r="E35" s="3"/>
      <c r="F35" s="94"/>
      <c r="G35" s="31"/>
      <c r="H35" s="3"/>
      <c r="I35" s="3"/>
      <c r="J35" s="3"/>
      <c r="K35" s="3"/>
      <c r="L35" s="36"/>
      <c r="M35" s="3"/>
      <c r="N35" s="3"/>
      <c r="O35" s="3"/>
      <c r="P35" s="23"/>
      <c r="Q35" s="95"/>
      <c r="S35" s="3"/>
      <c r="T35" s="16"/>
      <c r="U35" s="96"/>
      <c r="W35" s="3"/>
      <c r="X35" s="23"/>
      <c r="Y35" s="23"/>
      <c r="Z35" s="23"/>
      <c r="AA35" s="23"/>
      <c r="AB35" s="97"/>
      <c r="AC35" s="98"/>
      <c r="AD35" s="16"/>
      <c r="AE35" s="23"/>
      <c r="AF35" s="98"/>
      <c r="AG35" s="35"/>
      <c r="AH35" s="23"/>
      <c r="AI35" s="99"/>
      <c r="AJ35" s="23"/>
      <c r="AK35" s="97"/>
      <c r="AL35" s="100"/>
      <c r="AM35" s="16"/>
      <c r="AN35" s="23"/>
      <c r="AO35" s="101"/>
      <c r="AQ35" s="23"/>
      <c r="AR35" s="99"/>
      <c r="AS35" s="23"/>
      <c r="AT35" s="97"/>
      <c r="AU35" s="102"/>
      <c r="AV35" s="16"/>
      <c r="AW35" s="23"/>
      <c r="AX35" s="103"/>
      <c r="AY35" s="3"/>
      <c r="AZ35" s="103"/>
    </row>
    <row r="36" spans="1:52" x14ac:dyDescent="0.25">
      <c r="A36" s="3"/>
      <c r="D36" s="3"/>
      <c r="E36" s="3"/>
      <c r="F36" s="94"/>
      <c r="G36" s="31"/>
      <c r="H36" s="3"/>
      <c r="I36" s="3"/>
      <c r="J36" s="3"/>
      <c r="K36" s="3"/>
      <c r="L36" s="36"/>
      <c r="M36" s="3"/>
      <c r="N36" s="3"/>
      <c r="O36" s="3"/>
      <c r="P36" s="23"/>
      <c r="Q36" s="95"/>
      <c r="S36" s="3"/>
      <c r="T36" s="16"/>
      <c r="U36" s="96"/>
      <c r="W36" s="3"/>
      <c r="X36" s="23"/>
      <c r="Y36" s="23"/>
      <c r="Z36" s="23"/>
      <c r="AA36" s="23"/>
      <c r="AB36" s="97"/>
      <c r="AC36" s="98"/>
      <c r="AD36" s="16"/>
      <c r="AE36" s="23"/>
      <c r="AF36" s="98"/>
      <c r="AG36" s="35"/>
      <c r="AH36" s="23"/>
      <c r="AI36" s="99"/>
      <c r="AJ36" s="23"/>
      <c r="AK36" s="97"/>
      <c r="AL36" s="100"/>
      <c r="AM36" s="16"/>
      <c r="AN36" s="23"/>
      <c r="AO36" s="101"/>
      <c r="AQ36" s="23"/>
      <c r="AR36" s="99"/>
      <c r="AS36" s="23"/>
      <c r="AT36" s="97"/>
      <c r="AU36" s="102"/>
      <c r="AV36" s="16"/>
      <c r="AW36" s="23"/>
      <c r="AX36" s="103"/>
      <c r="AY36" s="3"/>
      <c r="AZ36" s="103"/>
    </row>
    <row r="37" spans="1:52" x14ac:dyDescent="0.25">
      <c r="A37" s="3"/>
      <c r="D37" s="3"/>
      <c r="E37" s="3"/>
      <c r="F37" s="94"/>
      <c r="G37" s="31"/>
      <c r="H37" s="3"/>
      <c r="I37" s="3"/>
      <c r="J37" s="3"/>
      <c r="K37" s="3"/>
      <c r="L37" s="36"/>
      <c r="M37" s="3"/>
      <c r="N37" s="3"/>
      <c r="O37" s="3"/>
      <c r="P37" s="23"/>
      <c r="Q37" s="95"/>
      <c r="S37" s="3"/>
      <c r="T37" s="16"/>
      <c r="U37" s="96"/>
      <c r="W37" s="3"/>
      <c r="X37" s="23"/>
      <c r="Y37" s="23"/>
      <c r="Z37" s="23"/>
      <c r="AA37" s="23"/>
      <c r="AB37" s="97"/>
      <c r="AC37" s="98"/>
      <c r="AD37" s="16"/>
      <c r="AE37" s="23"/>
      <c r="AF37" s="98"/>
      <c r="AG37" s="35"/>
      <c r="AH37" s="23"/>
      <c r="AI37" s="99"/>
      <c r="AJ37" s="23"/>
      <c r="AK37" s="97"/>
      <c r="AL37" s="100"/>
      <c r="AM37" s="16"/>
      <c r="AN37" s="23"/>
      <c r="AO37" s="101"/>
      <c r="AQ37" s="23"/>
      <c r="AR37" s="99"/>
      <c r="AS37" s="23"/>
      <c r="AT37" s="97"/>
      <c r="AU37" s="102"/>
      <c r="AV37" s="16"/>
      <c r="AW37" s="23"/>
      <c r="AX37" s="103"/>
      <c r="AY37" s="3"/>
      <c r="AZ37" s="103"/>
    </row>
    <row r="38" spans="1:52" x14ac:dyDescent="0.25">
      <c r="A38" s="3"/>
      <c r="D38" s="3"/>
      <c r="E38" s="3"/>
      <c r="F38" s="94"/>
      <c r="G38" s="31"/>
      <c r="H38" s="3"/>
      <c r="I38" s="3"/>
      <c r="J38" s="3"/>
      <c r="K38" s="3"/>
      <c r="L38" s="36"/>
      <c r="M38" s="3"/>
      <c r="N38" s="3"/>
      <c r="O38" s="3"/>
      <c r="P38" s="23"/>
      <c r="Q38" s="95"/>
      <c r="S38" s="3"/>
      <c r="T38" s="16"/>
      <c r="U38" s="96"/>
      <c r="W38" s="3"/>
      <c r="X38" s="23"/>
      <c r="Y38" s="23"/>
      <c r="Z38" s="23"/>
      <c r="AA38" s="23"/>
      <c r="AB38" s="97"/>
      <c r="AC38" s="98"/>
      <c r="AD38" s="16"/>
      <c r="AE38" s="23"/>
      <c r="AF38" s="98"/>
      <c r="AG38" s="35"/>
      <c r="AH38" s="23"/>
      <c r="AI38" s="99"/>
      <c r="AJ38" s="23"/>
      <c r="AK38" s="97"/>
      <c r="AL38" s="100"/>
      <c r="AM38" s="16"/>
      <c r="AN38" s="23"/>
      <c r="AO38" s="101"/>
      <c r="AQ38" s="23"/>
      <c r="AR38" s="99"/>
      <c r="AS38" s="23"/>
      <c r="AT38" s="97"/>
      <c r="AU38" s="102"/>
      <c r="AV38" s="16"/>
      <c r="AW38" s="23"/>
      <c r="AX38" s="103"/>
      <c r="AY38" s="3"/>
      <c r="AZ38" s="103"/>
    </row>
    <row r="39" spans="1:52" x14ac:dyDescent="0.25">
      <c r="A39" s="3"/>
      <c r="D39" s="3"/>
      <c r="E39" s="3"/>
      <c r="F39" s="94"/>
      <c r="G39" s="31"/>
      <c r="H39" s="3"/>
      <c r="I39" s="3"/>
      <c r="J39" s="3"/>
      <c r="K39" s="3"/>
      <c r="L39" s="36"/>
      <c r="M39" s="3"/>
      <c r="N39" s="3"/>
      <c r="O39" s="3"/>
      <c r="P39" s="23"/>
      <c r="Q39" s="95"/>
      <c r="S39" s="3"/>
      <c r="T39" s="16"/>
      <c r="U39" s="96"/>
      <c r="W39" s="3"/>
      <c r="X39" s="23"/>
      <c r="Y39" s="23"/>
      <c r="Z39" s="23"/>
      <c r="AA39" s="23"/>
      <c r="AB39" s="97"/>
      <c r="AC39" s="98"/>
      <c r="AD39" s="16"/>
      <c r="AE39" s="23"/>
      <c r="AF39" s="98"/>
      <c r="AG39" s="35"/>
      <c r="AH39" s="23"/>
      <c r="AI39" s="99"/>
      <c r="AJ39" s="23"/>
      <c r="AK39" s="97"/>
      <c r="AL39" s="100"/>
      <c r="AM39" s="16"/>
      <c r="AN39" s="23"/>
      <c r="AO39" s="101"/>
      <c r="AQ39" s="23"/>
      <c r="AR39" s="99"/>
      <c r="AS39" s="23"/>
      <c r="AT39" s="97"/>
      <c r="AU39" s="102"/>
      <c r="AV39" s="16"/>
      <c r="AW39" s="23"/>
      <c r="AX39" s="103"/>
      <c r="AY39" s="3"/>
      <c r="AZ39" s="103"/>
    </row>
    <row r="40" spans="1:52" x14ac:dyDescent="0.25">
      <c r="A40" s="3"/>
      <c r="D40" s="3"/>
      <c r="E40" s="3"/>
      <c r="F40" s="94"/>
      <c r="G40" s="31"/>
      <c r="H40" s="3"/>
      <c r="I40" s="3"/>
      <c r="J40" s="3"/>
      <c r="K40" s="3"/>
      <c r="L40" s="36"/>
      <c r="M40" s="3"/>
      <c r="N40" s="3"/>
      <c r="O40" s="3"/>
      <c r="P40" s="23"/>
      <c r="Q40" s="95"/>
      <c r="S40" s="3"/>
      <c r="T40" s="16"/>
      <c r="U40" s="96"/>
      <c r="W40" s="3"/>
      <c r="X40" s="23"/>
      <c r="Y40" s="23"/>
      <c r="Z40" s="23"/>
      <c r="AA40" s="23"/>
      <c r="AB40" s="97"/>
      <c r="AC40" s="98"/>
      <c r="AD40" s="16"/>
      <c r="AE40" s="23"/>
      <c r="AF40" s="98"/>
      <c r="AG40" s="35"/>
      <c r="AH40" s="23"/>
      <c r="AI40" s="99"/>
      <c r="AJ40" s="23"/>
      <c r="AK40" s="97"/>
      <c r="AL40" s="100"/>
      <c r="AM40" s="16"/>
      <c r="AN40" s="23"/>
      <c r="AO40" s="101"/>
      <c r="AQ40" s="23"/>
      <c r="AR40" s="99"/>
      <c r="AS40" s="23"/>
      <c r="AT40" s="97"/>
      <c r="AU40" s="102"/>
      <c r="AV40" s="16"/>
      <c r="AW40" s="23"/>
      <c r="AX40" s="103"/>
      <c r="AY40" s="3"/>
      <c r="AZ40" s="103"/>
    </row>
    <row r="41" spans="1:52" x14ac:dyDescent="0.25">
      <c r="A41" s="3"/>
      <c r="D41" s="3"/>
      <c r="E41" s="3"/>
      <c r="F41" s="94"/>
      <c r="G41" s="31"/>
      <c r="H41" s="3"/>
      <c r="I41" s="3"/>
      <c r="J41" s="3"/>
      <c r="K41" s="3"/>
      <c r="L41" s="36"/>
      <c r="M41" s="3"/>
      <c r="N41" s="3"/>
      <c r="O41" s="3"/>
      <c r="P41" s="23"/>
      <c r="Q41" s="95"/>
      <c r="S41" s="3"/>
      <c r="T41" s="16"/>
      <c r="U41" s="96"/>
      <c r="W41" s="3"/>
      <c r="X41" s="23"/>
      <c r="Y41" s="23"/>
      <c r="Z41" s="23"/>
      <c r="AA41" s="23"/>
      <c r="AB41" s="97"/>
      <c r="AC41" s="98"/>
      <c r="AD41" s="16"/>
      <c r="AE41" s="23"/>
      <c r="AF41" s="98"/>
      <c r="AG41" s="35"/>
      <c r="AH41" s="23"/>
      <c r="AI41" s="99"/>
      <c r="AJ41" s="23"/>
      <c r="AK41" s="97"/>
      <c r="AL41" s="100"/>
      <c r="AM41" s="16"/>
      <c r="AN41" s="23"/>
      <c r="AO41" s="101"/>
      <c r="AQ41" s="23"/>
      <c r="AR41" s="99"/>
      <c r="AS41" s="23"/>
      <c r="AT41" s="97"/>
      <c r="AU41" s="102"/>
      <c r="AV41" s="16"/>
      <c r="AW41" s="23"/>
      <c r="AX41" s="103"/>
      <c r="AY41" s="3"/>
      <c r="AZ41" s="103"/>
    </row>
    <row r="42" spans="1:52" x14ac:dyDescent="0.25">
      <c r="A42" s="3"/>
      <c r="D42" s="3"/>
      <c r="E42" s="3"/>
      <c r="F42" s="94"/>
      <c r="G42" s="31"/>
      <c r="H42" s="3"/>
      <c r="I42" s="3"/>
      <c r="J42" s="3"/>
      <c r="K42" s="3"/>
      <c r="L42" s="36"/>
      <c r="M42" s="3"/>
      <c r="N42" s="3"/>
      <c r="O42" s="3"/>
      <c r="P42" s="23"/>
      <c r="Q42" s="95"/>
      <c r="S42" s="3"/>
      <c r="T42" s="16"/>
      <c r="U42" s="96"/>
      <c r="W42" s="3"/>
      <c r="X42" s="23"/>
      <c r="Y42" s="23"/>
      <c r="Z42" s="23"/>
      <c r="AA42" s="23"/>
      <c r="AB42" s="97"/>
      <c r="AC42" s="98"/>
      <c r="AD42" s="16"/>
      <c r="AE42" s="23"/>
      <c r="AF42" s="98"/>
      <c r="AG42" s="35"/>
      <c r="AH42" s="23"/>
      <c r="AI42" s="99"/>
      <c r="AJ42" s="23"/>
      <c r="AK42" s="97"/>
      <c r="AL42" s="100"/>
      <c r="AM42" s="16"/>
      <c r="AN42" s="23"/>
      <c r="AO42" s="101"/>
      <c r="AQ42" s="23"/>
      <c r="AR42" s="99"/>
      <c r="AS42" s="23"/>
      <c r="AT42" s="97"/>
      <c r="AU42" s="102"/>
      <c r="AV42" s="16"/>
      <c r="AW42" s="23"/>
      <c r="AX42" s="103"/>
      <c r="AY42" s="3"/>
      <c r="AZ42" s="103"/>
    </row>
    <row r="43" spans="1:52" x14ac:dyDescent="0.25">
      <c r="A43" s="3"/>
      <c r="D43" s="3"/>
      <c r="E43" s="3"/>
      <c r="F43" s="94"/>
      <c r="G43" s="31"/>
      <c r="H43" s="3"/>
      <c r="I43" s="3"/>
      <c r="J43" s="3"/>
      <c r="K43" s="3"/>
      <c r="L43" s="36"/>
      <c r="M43" s="3"/>
      <c r="N43" s="3"/>
      <c r="O43" s="3"/>
      <c r="P43" s="23"/>
      <c r="Q43" s="95"/>
      <c r="S43" s="3"/>
      <c r="T43" s="16"/>
      <c r="U43" s="96"/>
      <c r="W43" s="3"/>
      <c r="X43" s="23"/>
      <c r="Y43" s="23"/>
      <c r="Z43" s="23"/>
      <c r="AA43" s="23"/>
      <c r="AB43" s="97"/>
      <c r="AC43" s="98"/>
      <c r="AD43" s="16"/>
      <c r="AE43" s="23"/>
      <c r="AF43" s="98"/>
      <c r="AG43" s="35"/>
      <c r="AH43" s="23"/>
      <c r="AI43" s="99"/>
      <c r="AJ43" s="23"/>
      <c r="AK43" s="97"/>
      <c r="AL43" s="100"/>
      <c r="AM43" s="16"/>
      <c r="AN43" s="23"/>
      <c r="AO43" s="101"/>
      <c r="AQ43" s="23"/>
      <c r="AR43" s="99"/>
      <c r="AS43" s="23"/>
      <c r="AT43" s="97"/>
      <c r="AU43" s="102"/>
      <c r="AV43" s="16"/>
      <c r="AW43" s="23"/>
      <c r="AX43" s="103"/>
      <c r="AY43" s="3"/>
      <c r="AZ43" s="103"/>
    </row>
    <row r="44" spans="1:52" x14ac:dyDescent="0.25">
      <c r="A44" s="3"/>
      <c r="D44" s="3"/>
      <c r="E44" s="3"/>
      <c r="F44" s="94"/>
      <c r="G44" s="31"/>
      <c r="H44" s="3"/>
      <c r="I44" s="3"/>
      <c r="J44" s="3"/>
      <c r="K44" s="3"/>
      <c r="L44" s="36"/>
      <c r="M44" s="3"/>
      <c r="N44" s="3"/>
      <c r="O44" s="3"/>
      <c r="P44" s="23"/>
      <c r="Q44" s="95"/>
      <c r="S44" s="3"/>
      <c r="T44" s="16"/>
      <c r="U44" s="96"/>
      <c r="W44" s="3"/>
      <c r="X44" s="23"/>
      <c r="Y44" s="23"/>
      <c r="Z44" s="23"/>
      <c r="AA44" s="23"/>
      <c r="AB44" s="97"/>
      <c r="AC44" s="98"/>
      <c r="AD44" s="16"/>
      <c r="AE44" s="23"/>
      <c r="AF44" s="98"/>
      <c r="AG44" s="35"/>
      <c r="AH44" s="23"/>
      <c r="AI44" s="99"/>
      <c r="AJ44" s="23"/>
      <c r="AK44" s="97"/>
      <c r="AL44" s="100"/>
      <c r="AM44" s="16"/>
      <c r="AN44" s="23"/>
      <c r="AO44" s="101"/>
      <c r="AQ44" s="23"/>
      <c r="AR44" s="99"/>
      <c r="AS44" s="23"/>
      <c r="AT44" s="97"/>
      <c r="AU44" s="102"/>
      <c r="AV44" s="16"/>
      <c r="AW44" s="23"/>
      <c r="AX44" s="103"/>
      <c r="AY44" s="3"/>
      <c r="AZ44" s="103"/>
    </row>
    <row r="45" spans="1:52" x14ac:dyDescent="0.25">
      <c r="A45" s="3"/>
      <c r="D45" s="3"/>
      <c r="E45" s="3"/>
      <c r="F45" s="94"/>
      <c r="G45" s="31"/>
      <c r="H45" s="3"/>
      <c r="I45" s="3"/>
      <c r="J45" s="3"/>
      <c r="K45" s="3"/>
      <c r="L45" s="36"/>
      <c r="M45" s="3"/>
      <c r="N45" s="3"/>
      <c r="O45" s="3"/>
      <c r="P45" s="23"/>
      <c r="Q45" s="95"/>
      <c r="S45" s="3"/>
      <c r="T45" s="16"/>
      <c r="U45" s="96"/>
      <c r="W45" s="3"/>
      <c r="X45" s="23"/>
      <c r="Y45" s="23"/>
      <c r="Z45" s="23"/>
      <c r="AA45" s="23"/>
      <c r="AB45" s="97"/>
      <c r="AC45" s="98"/>
      <c r="AD45" s="16"/>
      <c r="AE45" s="23"/>
      <c r="AF45" s="98"/>
      <c r="AG45" s="35"/>
      <c r="AH45" s="23"/>
      <c r="AI45" s="99"/>
      <c r="AJ45" s="23"/>
      <c r="AK45" s="97"/>
      <c r="AL45" s="100"/>
      <c r="AM45" s="16"/>
      <c r="AN45" s="23"/>
      <c r="AO45" s="101"/>
      <c r="AQ45" s="23"/>
      <c r="AR45" s="99"/>
      <c r="AS45" s="23"/>
      <c r="AT45" s="97"/>
      <c r="AU45" s="102"/>
      <c r="AV45" s="16"/>
      <c r="AW45" s="23"/>
      <c r="AX45" s="103"/>
      <c r="AY45" s="3"/>
      <c r="AZ45" s="103"/>
    </row>
    <row r="46" spans="1:52" x14ac:dyDescent="0.25">
      <c r="A46" s="3"/>
      <c r="D46" s="3"/>
      <c r="E46" s="3"/>
      <c r="F46" s="94"/>
      <c r="G46" s="31"/>
      <c r="H46" s="3"/>
      <c r="I46" s="3"/>
      <c r="J46" s="3"/>
      <c r="K46" s="3"/>
      <c r="L46" s="36"/>
      <c r="M46" s="3"/>
      <c r="N46" s="3"/>
      <c r="O46" s="3"/>
      <c r="P46" s="23"/>
      <c r="Q46" s="95"/>
      <c r="S46" s="3"/>
      <c r="T46" s="16"/>
      <c r="U46" s="96"/>
      <c r="W46" s="3"/>
      <c r="X46" s="23"/>
      <c r="Y46" s="23"/>
      <c r="Z46" s="23"/>
      <c r="AA46" s="23"/>
      <c r="AB46" s="97"/>
      <c r="AC46" s="98"/>
      <c r="AD46" s="16"/>
      <c r="AE46" s="23"/>
      <c r="AF46" s="98"/>
      <c r="AG46" s="35"/>
      <c r="AH46" s="23"/>
      <c r="AI46" s="99"/>
      <c r="AJ46" s="23"/>
      <c r="AK46" s="97"/>
      <c r="AL46" s="100"/>
      <c r="AM46" s="16"/>
      <c r="AN46" s="23"/>
      <c r="AO46" s="101"/>
      <c r="AQ46" s="23"/>
      <c r="AR46" s="99"/>
      <c r="AS46" s="23"/>
      <c r="AT46" s="97"/>
      <c r="AU46" s="102"/>
      <c r="AV46" s="16"/>
      <c r="AW46" s="23"/>
      <c r="AX46" s="103"/>
      <c r="AY46" s="3"/>
      <c r="AZ46" s="103"/>
    </row>
    <row r="47" spans="1:52" x14ac:dyDescent="0.25">
      <c r="A47" s="3"/>
      <c r="D47" s="3"/>
      <c r="E47" s="3"/>
      <c r="F47" s="94"/>
      <c r="G47" s="31"/>
      <c r="H47" s="3"/>
      <c r="I47" s="3"/>
      <c r="J47" s="3"/>
      <c r="K47" s="3"/>
      <c r="L47" s="36"/>
      <c r="M47" s="3"/>
      <c r="N47" s="3"/>
      <c r="O47" s="3"/>
      <c r="P47" s="23"/>
      <c r="Q47" s="95"/>
      <c r="S47" s="3"/>
      <c r="T47" s="16"/>
      <c r="U47" s="96"/>
      <c r="W47" s="3"/>
      <c r="X47" s="23"/>
      <c r="Y47" s="23"/>
      <c r="Z47" s="23"/>
      <c r="AA47" s="23"/>
      <c r="AB47" s="97"/>
      <c r="AC47" s="98"/>
      <c r="AD47" s="16"/>
      <c r="AE47" s="23"/>
      <c r="AF47" s="98"/>
      <c r="AG47" s="35"/>
      <c r="AH47" s="23"/>
      <c r="AI47" s="99"/>
      <c r="AJ47" s="23"/>
      <c r="AK47" s="97"/>
      <c r="AL47" s="100"/>
      <c r="AM47" s="16"/>
      <c r="AN47" s="23"/>
      <c r="AO47" s="101"/>
      <c r="AQ47" s="23"/>
      <c r="AR47" s="99"/>
      <c r="AS47" s="23"/>
      <c r="AT47" s="97"/>
      <c r="AU47" s="102"/>
      <c r="AV47" s="16"/>
      <c r="AW47" s="23"/>
      <c r="AX47" s="103"/>
      <c r="AY47" s="3"/>
      <c r="AZ47" s="103"/>
    </row>
    <row r="48" spans="1:52" x14ac:dyDescent="0.25">
      <c r="A48" s="3"/>
      <c r="D48" s="3"/>
      <c r="E48" s="3"/>
      <c r="F48" s="94"/>
      <c r="G48" s="31"/>
      <c r="H48" s="3"/>
      <c r="I48" s="3"/>
      <c r="J48" s="3"/>
      <c r="K48" s="3"/>
      <c r="L48" s="36"/>
      <c r="M48" s="3"/>
      <c r="N48" s="3"/>
      <c r="O48" s="3"/>
      <c r="P48" s="23"/>
      <c r="Q48" s="95"/>
      <c r="S48" s="3"/>
      <c r="T48" s="16"/>
      <c r="U48" s="96"/>
      <c r="W48" s="3"/>
      <c r="X48" s="23"/>
      <c r="Y48" s="23"/>
      <c r="Z48" s="23"/>
      <c r="AA48" s="23"/>
      <c r="AB48" s="97"/>
      <c r="AC48" s="98"/>
      <c r="AD48" s="16"/>
      <c r="AE48" s="23"/>
      <c r="AF48" s="98"/>
      <c r="AG48" s="35"/>
      <c r="AH48" s="23"/>
      <c r="AI48" s="99"/>
      <c r="AJ48" s="23"/>
      <c r="AK48" s="97"/>
      <c r="AL48" s="100"/>
      <c r="AM48" s="16"/>
      <c r="AN48" s="23"/>
      <c r="AO48" s="101"/>
      <c r="AQ48" s="23"/>
      <c r="AR48" s="99"/>
      <c r="AS48" s="23"/>
      <c r="AT48" s="97"/>
      <c r="AU48" s="102"/>
      <c r="AV48" s="16"/>
      <c r="AW48" s="23"/>
      <c r="AX48" s="103"/>
      <c r="AY48" s="3"/>
      <c r="AZ48" s="103"/>
    </row>
    <row r="49" spans="1:52" x14ac:dyDescent="0.25">
      <c r="A49" s="3"/>
      <c r="D49" s="3"/>
      <c r="E49" s="3"/>
      <c r="F49" s="94"/>
      <c r="G49" s="31"/>
      <c r="H49" s="3"/>
      <c r="I49" s="3"/>
      <c r="J49" s="3"/>
      <c r="K49" s="3"/>
      <c r="L49" s="36"/>
      <c r="M49" s="3"/>
      <c r="N49" s="3"/>
      <c r="O49" s="3"/>
      <c r="P49" s="23"/>
      <c r="Q49" s="95"/>
      <c r="S49" s="3"/>
      <c r="T49" s="16"/>
      <c r="U49" s="96"/>
      <c r="W49" s="3"/>
      <c r="X49" s="23"/>
      <c r="Y49" s="23"/>
      <c r="Z49" s="23"/>
      <c r="AA49" s="23"/>
      <c r="AB49" s="97"/>
      <c r="AC49" s="98"/>
      <c r="AD49" s="16"/>
      <c r="AE49" s="23"/>
      <c r="AF49" s="98"/>
      <c r="AG49" s="35"/>
      <c r="AH49" s="23"/>
      <c r="AI49" s="99"/>
      <c r="AJ49" s="23"/>
      <c r="AK49" s="97"/>
      <c r="AL49" s="100"/>
      <c r="AM49" s="16"/>
      <c r="AN49" s="23"/>
      <c r="AO49" s="101"/>
      <c r="AQ49" s="23"/>
      <c r="AR49" s="99"/>
      <c r="AS49" s="23"/>
      <c r="AT49" s="97"/>
      <c r="AU49" s="102"/>
      <c r="AV49" s="16"/>
      <c r="AW49" s="23"/>
      <c r="AX49" s="103"/>
      <c r="AY49" s="3"/>
      <c r="AZ49" s="103"/>
    </row>
    <row r="50" spans="1:52" x14ac:dyDescent="0.25">
      <c r="A50" s="3"/>
      <c r="D50" s="3"/>
      <c r="E50" s="3"/>
      <c r="F50" s="94"/>
      <c r="G50" s="31"/>
      <c r="H50" s="3"/>
      <c r="I50" s="3"/>
      <c r="J50" s="3"/>
      <c r="K50" s="3"/>
      <c r="L50" s="36"/>
      <c r="M50" s="3"/>
      <c r="N50" s="3"/>
      <c r="O50" s="3"/>
      <c r="P50" s="23"/>
      <c r="Q50" s="95"/>
      <c r="S50" s="3"/>
      <c r="T50" s="16"/>
      <c r="U50" s="96"/>
      <c r="W50" s="3"/>
      <c r="X50" s="23"/>
      <c r="Y50" s="23"/>
      <c r="Z50" s="23"/>
      <c r="AA50" s="23"/>
      <c r="AB50" s="97"/>
      <c r="AC50" s="98"/>
      <c r="AD50" s="16"/>
      <c r="AE50" s="23"/>
      <c r="AF50" s="98"/>
      <c r="AG50" s="35"/>
      <c r="AH50" s="23"/>
      <c r="AI50" s="99"/>
      <c r="AJ50" s="23"/>
      <c r="AK50" s="97"/>
      <c r="AL50" s="100"/>
      <c r="AM50" s="16"/>
      <c r="AN50" s="23"/>
      <c r="AO50" s="101"/>
      <c r="AQ50" s="23"/>
      <c r="AR50" s="99"/>
      <c r="AS50" s="23"/>
      <c r="AT50" s="97"/>
      <c r="AU50" s="102"/>
      <c r="AV50" s="16"/>
      <c r="AW50" s="23"/>
      <c r="AX50" s="103"/>
      <c r="AY50" s="3"/>
      <c r="AZ50" s="103"/>
    </row>
    <row r="51" spans="1:52" x14ac:dyDescent="0.25">
      <c r="A51" s="3"/>
      <c r="D51" s="3"/>
      <c r="E51" s="3"/>
      <c r="F51" s="94"/>
      <c r="G51" s="31"/>
      <c r="H51" s="3"/>
      <c r="I51" s="3"/>
      <c r="J51" s="3"/>
      <c r="K51" s="3"/>
      <c r="L51" s="36"/>
      <c r="M51" s="3"/>
      <c r="N51" s="3"/>
      <c r="O51" s="3"/>
      <c r="P51" s="23"/>
      <c r="Q51" s="95"/>
      <c r="S51" s="3"/>
      <c r="T51" s="16"/>
      <c r="U51" s="96"/>
      <c r="W51" s="3"/>
      <c r="X51" s="23"/>
      <c r="Y51" s="23"/>
      <c r="Z51" s="23"/>
      <c r="AA51" s="23"/>
      <c r="AB51" s="97"/>
      <c r="AC51" s="98"/>
      <c r="AD51" s="16"/>
      <c r="AE51" s="23"/>
      <c r="AF51" s="98"/>
      <c r="AG51" s="35"/>
      <c r="AH51" s="23"/>
      <c r="AI51" s="99"/>
      <c r="AJ51" s="23"/>
      <c r="AK51" s="97"/>
      <c r="AL51" s="100"/>
      <c r="AM51" s="16"/>
      <c r="AN51" s="23"/>
      <c r="AO51" s="101"/>
      <c r="AQ51" s="23"/>
      <c r="AR51" s="99"/>
      <c r="AS51" s="23"/>
      <c r="AT51" s="97"/>
      <c r="AU51" s="102"/>
      <c r="AV51" s="16"/>
      <c r="AW51" s="23"/>
      <c r="AX51" s="103"/>
      <c r="AY51" s="3"/>
      <c r="AZ51" s="103"/>
    </row>
    <row r="52" spans="1:52" x14ac:dyDescent="0.25">
      <c r="A52" s="3"/>
      <c r="D52" s="3"/>
      <c r="E52" s="3"/>
      <c r="F52" s="94"/>
      <c r="G52" s="31"/>
      <c r="H52" s="3"/>
      <c r="I52" s="3"/>
      <c r="J52" s="3"/>
      <c r="K52" s="3"/>
      <c r="L52" s="36"/>
      <c r="M52" s="3"/>
      <c r="N52" s="3"/>
      <c r="O52" s="3"/>
      <c r="P52" s="23"/>
      <c r="Q52" s="95"/>
      <c r="S52" s="3"/>
      <c r="T52" s="16"/>
      <c r="U52" s="96"/>
      <c r="W52" s="3"/>
      <c r="X52" s="23"/>
      <c r="Y52" s="23"/>
      <c r="Z52" s="23"/>
      <c r="AA52" s="23"/>
      <c r="AB52" s="97"/>
      <c r="AC52" s="98"/>
      <c r="AD52" s="16"/>
      <c r="AE52" s="23"/>
      <c r="AF52" s="98"/>
      <c r="AG52" s="35"/>
      <c r="AH52" s="23"/>
      <c r="AI52" s="99"/>
      <c r="AJ52" s="23"/>
      <c r="AK52" s="97"/>
      <c r="AL52" s="100"/>
      <c r="AM52" s="16"/>
      <c r="AN52" s="23"/>
      <c r="AO52" s="101"/>
      <c r="AQ52" s="23"/>
      <c r="AR52" s="99"/>
      <c r="AS52" s="23"/>
      <c r="AT52" s="97"/>
      <c r="AU52" s="102"/>
      <c r="AV52" s="16"/>
      <c r="AW52" s="23"/>
      <c r="AX52" s="103"/>
      <c r="AY52" s="3"/>
      <c r="AZ52" s="103"/>
    </row>
    <row r="53" spans="1:52" x14ac:dyDescent="0.25">
      <c r="A53" s="3"/>
      <c r="D53" s="3"/>
      <c r="E53" s="3"/>
      <c r="F53" s="94"/>
      <c r="G53" s="31"/>
      <c r="H53" s="3"/>
      <c r="I53" s="3"/>
      <c r="J53" s="3"/>
      <c r="K53" s="3"/>
      <c r="L53" s="36"/>
      <c r="M53" s="3"/>
      <c r="N53" s="3"/>
      <c r="O53" s="3"/>
      <c r="P53" s="23"/>
      <c r="Q53" s="95"/>
      <c r="S53" s="3"/>
      <c r="T53" s="16"/>
      <c r="U53" s="96"/>
      <c r="W53" s="3"/>
      <c r="X53" s="23"/>
      <c r="Y53" s="23"/>
      <c r="Z53" s="23"/>
      <c r="AA53" s="23"/>
      <c r="AB53" s="97"/>
      <c r="AC53" s="98"/>
      <c r="AD53" s="16"/>
      <c r="AE53" s="23"/>
      <c r="AF53" s="98"/>
      <c r="AG53" s="35"/>
      <c r="AH53" s="23"/>
      <c r="AI53" s="99"/>
      <c r="AJ53" s="23"/>
      <c r="AK53" s="97"/>
      <c r="AL53" s="100"/>
      <c r="AM53" s="16"/>
      <c r="AN53" s="23"/>
      <c r="AO53" s="101"/>
      <c r="AQ53" s="23"/>
      <c r="AR53" s="99"/>
      <c r="AS53" s="23"/>
      <c r="AT53" s="97"/>
      <c r="AU53" s="102"/>
      <c r="AV53" s="16"/>
      <c r="AW53" s="23"/>
      <c r="AX53" s="103"/>
      <c r="AY53" s="3"/>
      <c r="AZ53" s="103"/>
    </row>
    <row r="54" spans="1:52" x14ac:dyDescent="0.25">
      <c r="A54" s="3"/>
      <c r="D54" s="3"/>
      <c r="E54" s="3"/>
      <c r="F54" s="94"/>
      <c r="G54" s="31"/>
      <c r="H54" s="3"/>
      <c r="I54" s="3"/>
      <c r="J54" s="3"/>
      <c r="K54" s="3"/>
      <c r="L54" s="36"/>
      <c r="M54" s="3"/>
      <c r="N54" s="3"/>
      <c r="O54" s="3"/>
      <c r="P54" s="23"/>
      <c r="Q54" s="95"/>
      <c r="S54" s="3"/>
      <c r="T54" s="16"/>
      <c r="U54" s="96"/>
      <c r="W54" s="3"/>
      <c r="X54" s="23"/>
      <c r="Y54" s="23"/>
      <c r="Z54" s="23"/>
      <c r="AA54" s="23"/>
      <c r="AB54" s="97"/>
      <c r="AC54" s="98"/>
      <c r="AD54" s="16"/>
      <c r="AE54" s="23"/>
      <c r="AF54" s="98"/>
      <c r="AG54" s="35"/>
      <c r="AH54" s="23"/>
      <c r="AI54" s="99"/>
      <c r="AJ54" s="23"/>
      <c r="AK54" s="97"/>
      <c r="AL54" s="100"/>
      <c r="AM54" s="16"/>
      <c r="AN54" s="23"/>
      <c r="AO54" s="101"/>
      <c r="AQ54" s="23"/>
      <c r="AR54" s="99"/>
      <c r="AS54" s="23"/>
      <c r="AT54" s="97"/>
      <c r="AU54" s="102"/>
      <c r="AV54" s="16"/>
      <c r="AW54" s="23"/>
      <c r="AX54" s="103"/>
      <c r="AY54" s="3"/>
      <c r="AZ54" s="103"/>
    </row>
    <row r="55" spans="1:52" x14ac:dyDescent="0.25">
      <c r="A55" s="3"/>
      <c r="D55" s="3"/>
      <c r="E55" s="3"/>
      <c r="F55" s="94"/>
      <c r="G55" s="31"/>
      <c r="H55" s="3"/>
      <c r="I55" s="3"/>
      <c r="J55" s="3"/>
      <c r="K55" s="3"/>
      <c r="L55" s="36"/>
      <c r="M55" s="3"/>
      <c r="N55" s="3"/>
      <c r="O55" s="3"/>
      <c r="P55" s="23"/>
      <c r="Q55" s="95"/>
      <c r="S55" s="3"/>
      <c r="T55" s="16"/>
      <c r="U55" s="96"/>
      <c r="W55" s="3"/>
      <c r="X55" s="23"/>
      <c r="Y55" s="23"/>
      <c r="Z55" s="23"/>
      <c r="AA55" s="23"/>
      <c r="AB55" s="97"/>
      <c r="AC55" s="98"/>
      <c r="AD55" s="16"/>
      <c r="AE55" s="23"/>
      <c r="AF55" s="98"/>
      <c r="AG55" s="35"/>
      <c r="AH55" s="23"/>
      <c r="AI55" s="99"/>
      <c r="AJ55" s="23"/>
      <c r="AK55" s="97"/>
      <c r="AL55" s="100"/>
      <c r="AM55" s="16"/>
      <c r="AN55" s="23"/>
      <c r="AO55" s="101"/>
      <c r="AQ55" s="23"/>
      <c r="AR55" s="99"/>
      <c r="AS55" s="23"/>
      <c r="AT55" s="97"/>
      <c r="AU55" s="102"/>
      <c r="AV55" s="16"/>
      <c r="AW55" s="23"/>
      <c r="AX55" s="103"/>
      <c r="AY55" s="3"/>
      <c r="AZ55" s="103"/>
    </row>
    <row r="56" spans="1:52" x14ac:dyDescent="0.25">
      <c r="B56" s="1"/>
      <c r="D56" s="3"/>
      <c r="E56" s="3"/>
      <c r="F56" s="30"/>
      <c r="G56" s="31"/>
      <c r="H56" s="3"/>
      <c r="I56" s="3"/>
      <c r="J56" s="3"/>
      <c r="K56" s="3"/>
      <c r="L56" s="36"/>
      <c r="M56" s="3"/>
      <c r="N56" s="3"/>
      <c r="O56" s="3"/>
      <c r="P56" s="23"/>
      <c r="Q56" s="23"/>
      <c r="R56" s="23"/>
      <c r="S56" s="3"/>
      <c r="T56" s="16"/>
      <c r="W56" s="3"/>
      <c r="X56" s="23"/>
      <c r="Y56" s="34"/>
      <c r="Z56" s="34"/>
      <c r="AA56" s="34"/>
      <c r="AB56" s="34"/>
      <c r="AC56" s="34"/>
      <c r="AD56" s="34"/>
      <c r="AE56" s="34"/>
      <c r="AF56" s="34"/>
      <c r="AG56" s="34"/>
    </row>
    <row r="57" spans="1:52" x14ac:dyDescent="0.25">
      <c r="A57" s="76" t="s">
        <v>75</v>
      </c>
      <c r="B57" s="77"/>
      <c r="C57" s="77"/>
      <c r="D57" s="64"/>
      <c r="E57" s="17"/>
      <c r="F57" s="17"/>
      <c r="G57" s="64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</row>
    <row r="58" spans="1:52" x14ac:dyDescent="0.25">
      <c r="A58" s="76" t="s">
        <v>153</v>
      </c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</row>
    <row r="59" spans="1:52" x14ac:dyDescent="0.25">
      <c r="A59" s="78" t="s">
        <v>76</v>
      </c>
      <c r="B59" s="77" t="s">
        <v>77</v>
      </c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AC59" s="1" t="s">
        <v>149</v>
      </c>
    </row>
    <row r="60" spans="1:52" x14ac:dyDescent="0.25">
      <c r="A60" s="78" t="s">
        <v>78</v>
      </c>
      <c r="B60" s="77" t="s">
        <v>79</v>
      </c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AE60" s="18" t="s">
        <v>148</v>
      </c>
      <c r="AI60" s="18" t="s">
        <v>148</v>
      </c>
      <c r="AK60" s="18" t="s">
        <v>148</v>
      </c>
    </row>
    <row r="61" spans="1:52" x14ac:dyDescent="0.25">
      <c r="A61" s="78" t="s">
        <v>80</v>
      </c>
      <c r="B61" s="77" t="s">
        <v>81</v>
      </c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AE61" s="13" t="s">
        <v>71</v>
      </c>
      <c r="AI61" s="13" t="s">
        <v>71</v>
      </c>
      <c r="AK61" s="13" t="s">
        <v>71</v>
      </c>
    </row>
    <row r="62" spans="1:52" x14ac:dyDescent="0.25">
      <c r="A62" s="3" t="s">
        <v>82</v>
      </c>
      <c r="B62" s="77" t="s">
        <v>83</v>
      </c>
      <c r="AE62" s="13" t="s">
        <v>70</v>
      </c>
      <c r="AI62" s="13" t="s">
        <v>72</v>
      </c>
      <c r="AK62" s="13" t="s">
        <v>73</v>
      </c>
    </row>
    <row r="63" spans="1:52" x14ac:dyDescent="0.25">
      <c r="A63" s="3" t="s">
        <v>84</v>
      </c>
      <c r="B63" s="77" t="s">
        <v>85</v>
      </c>
      <c r="AE63" s="11" t="s">
        <v>55</v>
      </c>
      <c r="AF63" s="45" t="s">
        <v>147</v>
      </c>
      <c r="AI63" s="11" t="s">
        <v>55</v>
      </c>
      <c r="AJ63" s="9" t="s">
        <v>147</v>
      </c>
      <c r="AK63" s="11" t="s">
        <v>55</v>
      </c>
      <c r="AL63" s="45" t="s">
        <v>147</v>
      </c>
    </row>
    <row r="64" spans="1:52" x14ac:dyDescent="0.25">
      <c r="A64" s="3" t="s">
        <v>86</v>
      </c>
      <c r="B64" s="77" t="s">
        <v>158</v>
      </c>
      <c r="AC64" s="21" t="s">
        <v>31</v>
      </c>
      <c r="AD64" s="43"/>
      <c r="AE64" s="74">
        <v>8.3732670661365236E-3</v>
      </c>
      <c r="AF64" s="80">
        <v>1</v>
      </c>
      <c r="AI64" s="82">
        <v>3.3834412705538054E-5</v>
      </c>
      <c r="AJ64" s="84">
        <f t="shared" ref="AJ64:AJ65" si="20">+AO14/AF14</f>
        <v>4.0820377373984055E-3</v>
      </c>
      <c r="AK64" s="83">
        <v>7.0541859432519877E-6</v>
      </c>
      <c r="AL64" s="84">
        <f>+AX14/AF14</f>
        <v>8.5106998834552584E-4</v>
      </c>
    </row>
    <row r="65" spans="1:38" x14ac:dyDescent="0.25">
      <c r="A65" s="3" t="s">
        <v>87</v>
      </c>
      <c r="B65" s="77" t="s">
        <v>159</v>
      </c>
      <c r="AC65" s="21" t="s">
        <v>74</v>
      </c>
      <c r="AD65" s="43"/>
      <c r="AE65" s="8">
        <v>6.493006714222916E-3</v>
      </c>
      <c r="AF65" s="80">
        <v>1</v>
      </c>
      <c r="AI65" s="61">
        <v>2.6236720641255356E-5</v>
      </c>
      <c r="AJ65" s="84">
        <f t="shared" si="20"/>
        <v>4.0820377373984073E-3</v>
      </c>
      <c r="AK65" s="81">
        <v>5.4701320680609561E-6</v>
      </c>
      <c r="AL65" s="84">
        <f>+AX15/AF15</f>
        <v>8.5106998834552595E-4</v>
      </c>
    </row>
    <row r="66" spans="1:38" ht="17.25" x14ac:dyDescent="0.25">
      <c r="A66" s="3" t="s">
        <v>88</v>
      </c>
      <c r="B66" s="77" t="s">
        <v>161</v>
      </c>
      <c r="AC66" s="21" t="s">
        <v>32</v>
      </c>
      <c r="AD66" s="43"/>
      <c r="AE66" s="88">
        <v>9.1436907602425229E-3</v>
      </c>
      <c r="AF66" s="80">
        <v>1</v>
      </c>
      <c r="AI66" s="61">
        <v>3.7324403214225406E-5</v>
      </c>
      <c r="AJ66" s="84">
        <f>+AO16/AF16</f>
        <v>4.0820377373984073E-3</v>
      </c>
      <c r="AK66" s="81">
        <v>7.7818191432937742E-6</v>
      </c>
      <c r="AL66" s="84">
        <f>+AX16/AF16</f>
        <v>8.5105887188680171E-4</v>
      </c>
    </row>
    <row r="67" spans="1:38" x14ac:dyDescent="0.25">
      <c r="A67" s="3" t="s">
        <v>89</v>
      </c>
      <c r="B67" s="77" t="s">
        <v>90</v>
      </c>
    </row>
    <row r="68" spans="1:38" x14ac:dyDescent="0.25">
      <c r="A68" s="3" t="s">
        <v>91</v>
      </c>
      <c r="B68" s="77" t="s">
        <v>92</v>
      </c>
    </row>
    <row r="69" spans="1:38" x14ac:dyDescent="0.25">
      <c r="A69" s="3" t="s">
        <v>93</v>
      </c>
      <c r="B69" s="77" t="s">
        <v>94</v>
      </c>
    </row>
    <row r="70" spans="1:38" x14ac:dyDescent="0.25">
      <c r="A70" s="3" t="s">
        <v>95</v>
      </c>
      <c r="B70" s="77" t="s">
        <v>96</v>
      </c>
    </row>
    <row r="71" spans="1:38" x14ac:dyDescent="0.25">
      <c r="A71" s="3" t="s">
        <v>97</v>
      </c>
      <c r="B71" s="77" t="s">
        <v>162</v>
      </c>
    </row>
    <row r="72" spans="1:38" x14ac:dyDescent="0.25">
      <c r="A72" s="3" t="s">
        <v>98</v>
      </c>
      <c r="B72" s="77" t="s">
        <v>163</v>
      </c>
    </row>
    <row r="73" spans="1:38" x14ac:dyDescent="0.25">
      <c r="A73" s="3" t="s">
        <v>99</v>
      </c>
      <c r="B73" s="77" t="s">
        <v>164</v>
      </c>
    </row>
    <row r="74" spans="1:38" x14ac:dyDescent="0.25">
      <c r="A74" s="3" t="s">
        <v>100</v>
      </c>
      <c r="B74" s="77" t="s">
        <v>101</v>
      </c>
    </row>
    <row r="75" spans="1:38" x14ac:dyDescent="0.25">
      <c r="A75" s="3" t="s">
        <v>102</v>
      </c>
      <c r="B75" s="79" t="s">
        <v>108</v>
      </c>
    </row>
    <row r="76" spans="1:38" x14ac:dyDescent="0.25">
      <c r="A76" s="3" t="s">
        <v>103</v>
      </c>
      <c r="B76" s="77" t="s">
        <v>165</v>
      </c>
    </row>
    <row r="77" spans="1:38" x14ac:dyDescent="0.25">
      <c r="A77" s="3" t="s">
        <v>104</v>
      </c>
      <c r="B77" s="77" t="s">
        <v>105</v>
      </c>
    </row>
    <row r="78" spans="1:38" x14ac:dyDescent="0.25">
      <c r="A78" s="3" t="s">
        <v>106</v>
      </c>
      <c r="B78" s="77" t="s">
        <v>107</v>
      </c>
    </row>
    <row r="79" spans="1:38" x14ac:dyDescent="0.25">
      <c r="A79" s="3" t="s">
        <v>10</v>
      </c>
      <c r="B79" s="77" t="s">
        <v>167</v>
      </c>
    </row>
    <row r="80" spans="1:38" x14ac:dyDescent="0.25">
      <c r="A80" s="3" t="s">
        <v>109</v>
      </c>
      <c r="B80" t="s">
        <v>110</v>
      </c>
    </row>
    <row r="81" spans="1:2" x14ac:dyDescent="0.25">
      <c r="A81" s="3" t="s">
        <v>111</v>
      </c>
      <c r="B81" s="77" t="s">
        <v>168</v>
      </c>
    </row>
    <row r="82" spans="1:2" x14ac:dyDescent="0.25">
      <c r="A82" s="3" t="s">
        <v>112</v>
      </c>
      <c r="B82" s="77" t="s">
        <v>113</v>
      </c>
    </row>
    <row r="83" spans="1:2" ht="17.25" x14ac:dyDescent="0.25">
      <c r="A83" s="3" t="s">
        <v>114</v>
      </c>
      <c r="B83" s="77" t="s">
        <v>169</v>
      </c>
    </row>
    <row r="84" spans="1:2" x14ac:dyDescent="0.25">
      <c r="A84" s="3" t="s">
        <v>115</v>
      </c>
      <c r="B84" s="77" t="s">
        <v>170</v>
      </c>
    </row>
    <row r="85" spans="1:2" x14ac:dyDescent="0.25">
      <c r="A85" s="3" t="s">
        <v>116</v>
      </c>
      <c r="B85" s="77" t="s">
        <v>171</v>
      </c>
    </row>
    <row r="86" spans="1:2" x14ac:dyDescent="0.25">
      <c r="A86" s="3" t="s">
        <v>117</v>
      </c>
      <c r="B86" s="77" t="s">
        <v>118</v>
      </c>
    </row>
    <row r="87" spans="1:2" x14ac:dyDescent="0.25">
      <c r="A87" s="3" t="s">
        <v>119</v>
      </c>
      <c r="B87" s="77" t="s">
        <v>178</v>
      </c>
    </row>
    <row r="88" spans="1:2" x14ac:dyDescent="0.25">
      <c r="A88" s="3" t="s">
        <v>120</v>
      </c>
      <c r="B88" s="77" t="s">
        <v>121</v>
      </c>
    </row>
    <row r="89" spans="1:2" x14ac:dyDescent="0.25">
      <c r="A89" s="3" t="s">
        <v>122</v>
      </c>
      <c r="B89" s="77" t="s">
        <v>123</v>
      </c>
    </row>
    <row r="90" spans="1:2" x14ac:dyDescent="0.25">
      <c r="A90" s="3" t="s">
        <v>124</v>
      </c>
      <c r="B90" s="77" t="s">
        <v>125</v>
      </c>
    </row>
    <row r="91" spans="1:2" x14ac:dyDescent="0.25">
      <c r="A91" s="3" t="s">
        <v>126</v>
      </c>
      <c r="B91" s="77" t="s">
        <v>127</v>
      </c>
    </row>
    <row r="92" spans="1:2" x14ac:dyDescent="0.25">
      <c r="A92" s="3" t="s">
        <v>128</v>
      </c>
      <c r="B92" s="77" t="s">
        <v>129</v>
      </c>
    </row>
    <row r="93" spans="1:2" x14ac:dyDescent="0.25">
      <c r="A93" s="3" t="s">
        <v>130</v>
      </c>
      <c r="B93" s="77" t="s">
        <v>131</v>
      </c>
    </row>
    <row r="94" spans="1:2" x14ac:dyDescent="0.25">
      <c r="A94" s="3" t="s">
        <v>132</v>
      </c>
      <c r="B94" s="77" t="s">
        <v>118</v>
      </c>
    </row>
    <row r="95" spans="1:2" x14ac:dyDescent="0.25">
      <c r="A95" s="3" t="s">
        <v>133</v>
      </c>
      <c r="B95" s="77" t="s">
        <v>181</v>
      </c>
    </row>
    <row r="96" spans="1:2" x14ac:dyDescent="0.25">
      <c r="A96" s="3" t="s">
        <v>134</v>
      </c>
      <c r="B96" s="77" t="s">
        <v>135</v>
      </c>
    </row>
    <row r="97" spans="1:2" x14ac:dyDescent="0.25">
      <c r="A97" s="3" t="s">
        <v>174</v>
      </c>
      <c r="B97" s="77" t="s">
        <v>123</v>
      </c>
    </row>
    <row r="98" spans="1:2" x14ac:dyDescent="0.25">
      <c r="A98" s="3" t="s">
        <v>136</v>
      </c>
      <c r="B98" s="77" t="s">
        <v>137</v>
      </c>
    </row>
    <row r="99" spans="1:2" x14ac:dyDescent="0.25">
      <c r="A99" s="3" t="s">
        <v>138</v>
      </c>
      <c r="B99" s="77" t="s">
        <v>139</v>
      </c>
    </row>
    <row r="100" spans="1:2" x14ac:dyDescent="0.25">
      <c r="A100" s="3" t="s">
        <v>140</v>
      </c>
      <c r="B100" s="77" t="s">
        <v>129</v>
      </c>
    </row>
    <row r="101" spans="1:2" x14ac:dyDescent="0.25">
      <c r="A101" s="3" t="s">
        <v>141</v>
      </c>
      <c r="B101" s="77" t="s">
        <v>143</v>
      </c>
    </row>
    <row r="102" spans="1:2" x14ac:dyDescent="0.25">
      <c r="A102" s="3" t="s">
        <v>175</v>
      </c>
      <c r="B102" s="77" t="s">
        <v>176</v>
      </c>
    </row>
    <row r="103" spans="1:2" x14ac:dyDescent="0.25">
      <c r="A103" s="3" t="s">
        <v>142</v>
      </c>
      <c r="B103" s="77" t="s">
        <v>178</v>
      </c>
    </row>
    <row r="104" spans="1:2" x14ac:dyDescent="0.25">
      <c r="A104" s="3" t="s">
        <v>144</v>
      </c>
      <c r="B104" s="77" t="s">
        <v>179</v>
      </c>
    </row>
    <row r="105" spans="1:2" x14ac:dyDescent="0.25">
      <c r="A105" s="3" t="s">
        <v>145</v>
      </c>
      <c r="B105" s="77" t="s">
        <v>146</v>
      </c>
    </row>
  </sheetData>
  <mergeCells count="4">
    <mergeCell ref="W7:AF7"/>
    <mergeCell ref="AH7:AO7"/>
    <mergeCell ref="AQ7:AX7"/>
    <mergeCell ref="W21:AF21"/>
  </mergeCells>
  <phoneticPr fontId="6" type="noConversion"/>
  <pageMargins left="0.25" right="0.25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CDDACF-F619-4494-99AC-5A3DA5A9D7B7}">
  <dimension ref="A1:T76"/>
  <sheetViews>
    <sheetView tabSelected="1" workbookViewId="0">
      <selection activeCell="I1" sqref="I1"/>
    </sheetView>
  </sheetViews>
  <sheetFormatPr defaultRowHeight="15" x14ac:dyDescent="0.25"/>
  <cols>
    <col min="1" max="1" width="20.42578125" customWidth="1"/>
    <col min="2" max="2" width="14.7109375" customWidth="1"/>
    <col min="3" max="3" width="10.140625" customWidth="1"/>
    <col min="5" max="5" width="10.140625" customWidth="1"/>
    <col min="6" max="7" width="15.85546875" customWidth="1"/>
    <col min="8" max="8" width="22.7109375" customWidth="1"/>
    <col min="9" max="9" width="31.85546875" customWidth="1"/>
    <col min="10" max="11" width="10.140625" customWidth="1"/>
    <col min="12" max="12" width="21.28515625" customWidth="1"/>
    <col min="13" max="13" width="26.140625" customWidth="1"/>
    <col min="14" max="15" width="10.140625" customWidth="1"/>
    <col min="16" max="16" width="25.140625" customWidth="1"/>
    <col min="17" max="17" width="10.140625" customWidth="1"/>
    <col min="18" max="18" width="27.7109375" customWidth="1"/>
    <col min="19" max="19" width="18.85546875" customWidth="1"/>
    <col min="20" max="20" width="13.5703125" customWidth="1"/>
  </cols>
  <sheetData>
    <row r="1" spans="1:19" x14ac:dyDescent="0.25">
      <c r="A1" s="1" t="s">
        <v>316</v>
      </c>
      <c r="I1" t="s">
        <v>326</v>
      </c>
    </row>
    <row r="3" spans="1:19" x14ac:dyDescent="0.25">
      <c r="N3" s="3" t="s">
        <v>50</v>
      </c>
    </row>
    <row r="4" spans="1:19" x14ac:dyDescent="0.25">
      <c r="I4" s="3" t="s">
        <v>278</v>
      </c>
      <c r="J4" t="s">
        <v>276</v>
      </c>
      <c r="L4" s="3" t="s">
        <v>280</v>
      </c>
      <c r="M4" s="3"/>
      <c r="N4" s="3" t="s">
        <v>49</v>
      </c>
      <c r="R4" s="3" t="s">
        <v>284</v>
      </c>
      <c r="S4" t="s">
        <v>286</v>
      </c>
    </row>
    <row r="5" spans="1:19" x14ac:dyDescent="0.25">
      <c r="A5" t="s">
        <v>185</v>
      </c>
      <c r="B5" s="3" t="s">
        <v>186</v>
      </c>
      <c r="C5" s="3" t="s">
        <v>194</v>
      </c>
      <c r="F5" s="3" t="s">
        <v>26</v>
      </c>
      <c r="G5" s="3"/>
      <c r="H5" s="3"/>
      <c r="I5" s="3" t="s">
        <v>279</v>
      </c>
      <c r="J5" t="s">
        <v>277</v>
      </c>
      <c r="L5" s="3" t="s">
        <v>281</v>
      </c>
      <c r="M5" s="3"/>
      <c r="O5" s="3" t="s">
        <v>27</v>
      </c>
      <c r="P5" s="3" t="s">
        <v>282</v>
      </c>
      <c r="Q5" s="3" t="s">
        <v>283</v>
      </c>
      <c r="R5" s="3" t="s">
        <v>55</v>
      </c>
    </row>
    <row r="6" spans="1:19" x14ac:dyDescent="0.25">
      <c r="A6" t="s">
        <v>190</v>
      </c>
      <c r="B6" t="s">
        <v>29</v>
      </c>
      <c r="C6" s="3" t="s">
        <v>195</v>
      </c>
      <c r="F6" s="3">
        <v>418.06</v>
      </c>
      <c r="G6" s="3"/>
      <c r="H6" s="3"/>
      <c r="I6" s="3">
        <f>+F6/1000000</f>
        <v>4.1805999999999999E-4</v>
      </c>
      <c r="J6" s="3">
        <v>44</v>
      </c>
      <c r="K6" s="3">
        <f>1000/29</f>
        <v>34.482758620689658</v>
      </c>
      <c r="L6">
        <f>+I6*J6*K6</f>
        <v>0.63429793103448284</v>
      </c>
      <c r="M6" s="3">
        <f>+L6*(0.725/0.797)</f>
        <v>0.57699623588456717</v>
      </c>
      <c r="N6" s="3">
        <v>0.83299999999999996</v>
      </c>
      <c r="O6" s="3">
        <v>26</v>
      </c>
      <c r="P6" s="121">
        <f>+(M6/1000)*N6*O6</f>
        <v>1.2496584476787956E-2</v>
      </c>
      <c r="Q6" s="3">
        <v>1.508</v>
      </c>
      <c r="R6" s="122">
        <f>+P6/Q6</f>
        <v>8.2868597326180085E-3</v>
      </c>
    </row>
    <row r="7" spans="1:19" x14ac:dyDescent="0.25">
      <c r="A7" t="s">
        <v>187</v>
      </c>
      <c r="B7" t="s">
        <v>47</v>
      </c>
      <c r="C7" s="3"/>
      <c r="F7" s="3">
        <v>1.9273800000000001</v>
      </c>
      <c r="G7" s="3"/>
      <c r="H7" s="3"/>
      <c r="I7" s="135">
        <f>+F7/1000000</f>
        <v>1.9273800000000003E-6</v>
      </c>
      <c r="J7" s="3">
        <v>16</v>
      </c>
      <c r="K7" s="3">
        <f>1000/29</f>
        <v>34.482758620689658</v>
      </c>
      <c r="L7">
        <f t="shared" ref="L7:L22" si="0">+I7*J7*K7</f>
        <v>1.0633820689655174E-3</v>
      </c>
      <c r="M7" s="3">
        <f t="shared" ref="M7:M22" si="1">+L7*(0.725/0.797)</f>
        <v>9.6731744040150572E-4</v>
      </c>
      <c r="N7" s="3">
        <v>2.0289999999999999</v>
      </c>
      <c r="O7" s="3">
        <v>26</v>
      </c>
      <c r="P7" s="121">
        <f t="shared" ref="P7:P22" si="2">+(M7/1000)*N7*O7</f>
        <v>5.1029864250941024E-5</v>
      </c>
      <c r="Q7" s="3">
        <v>1.508</v>
      </c>
      <c r="R7" s="28">
        <f t="shared" ref="R7:R22" si="3">+P7/Q7</f>
        <v>3.3839432527149221E-5</v>
      </c>
    </row>
    <row r="8" spans="1:19" x14ac:dyDescent="0.25">
      <c r="A8" t="s">
        <v>285</v>
      </c>
      <c r="B8" t="s">
        <v>48</v>
      </c>
      <c r="C8" s="3"/>
      <c r="F8" s="3">
        <v>0.33678000000000002</v>
      </c>
      <c r="G8" s="3"/>
      <c r="H8" s="3"/>
      <c r="I8" s="134">
        <v>3.3674999999999999E-7</v>
      </c>
      <c r="J8" s="3">
        <v>44</v>
      </c>
      <c r="K8" s="3">
        <f>1000/29</f>
        <v>34.482758620689658</v>
      </c>
      <c r="L8">
        <f t="shared" si="0"/>
        <v>5.1093103448275872E-4</v>
      </c>
      <c r="M8" s="3">
        <f t="shared" si="1"/>
        <v>4.6477415307402768E-4</v>
      </c>
      <c r="N8" s="3">
        <v>0.88</v>
      </c>
      <c r="O8" s="3">
        <v>26</v>
      </c>
      <c r="P8" s="121">
        <f t="shared" si="2"/>
        <v>1.0634032622333754E-5</v>
      </c>
      <c r="Q8" s="3">
        <v>1.508</v>
      </c>
      <c r="R8" s="28">
        <f t="shared" si="3"/>
        <v>7.0517457707783517E-6</v>
      </c>
    </row>
    <row r="9" spans="1:19" x14ac:dyDescent="0.25">
      <c r="A9" s="1" t="s">
        <v>317</v>
      </c>
      <c r="C9" s="3"/>
      <c r="F9" s="3"/>
      <c r="G9" s="3" t="s">
        <v>202</v>
      </c>
      <c r="H9" s="3" t="s">
        <v>26</v>
      </c>
      <c r="I9" s="120"/>
      <c r="J9" s="3"/>
      <c r="K9" s="3"/>
      <c r="M9" s="3"/>
      <c r="N9" s="3"/>
      <c r="O9" s="3"/>
      <c r="P9" s="121"/>
      <c r="Q9" s="3"/>
      <c r="R9" s="28"/>
    </row>
    <row r="10" spans="1:19" ht="18" x14ac:dyDescent="0.35">
      <c r="A10" t="s">
        <v>189</v>
      </c>
      <c r="B10" t="s">
        <v>191</v>
      </c>
      <c r="C10" s="3">
        <v>213.5</v>
      </c>
      <c r="D10" t="s">
        <v>202</v>
      </c>
      <c r="E10" s="3">
        <v>2014</v>
      </c>
      <c r="G10" s="121">
        <f>+C10/1000000000</f>
        <v>2.135E-7</v>
      </c>
      <c r="H10" s="129">
        <f>+G10/1000000</f>
        <v>2.135E-13</v>
      </c>
      <c r="I10" s="141">
        <f>+H10/1000000</f>
        <v>2.1350000000000001E-19</v>
      </c>
      <c r="J10" s="3">
        <v>137.36000000000001</v>
      </c>
      <c r="K10" s="3">
        <f>1000/29</f>
        <v>34.482758620689658</v>
      </c>
      <c r="L10" s="137">
        <f t="shared" si="0"/>
        <v>1.0112537931034485E-15</v>
      </c>
      <c r="M10" s="131">
        <f t="shared" si="1"/>
        <v>9.1989836888331268E-16</v>
      </c>
      <c r="N10" s="3">
        <v>0.88</v>
      </c>
      <c r="O10" s="3">
        <v>26</v>
      </c>
      <c r="P10" s="136">
        <f t="shared" si="2"/>
        <v>2.1047274680050191E-17</v>
      </c>
      <c r="Q10" s="3">
        <v>1.508</v>
      </c>
      <c r="R10" s="140">
        <f t="shared" si="3"/>
        <v>1.3957078700298535E-17</v>
      </c>
      <c r="S10" t="s">
        <v>198</v>
      </c>
    </row>
    <row r="11" spans="1:19" ht="18" x14ac:dyDescent="0.35">
      <c r="A11" t="s">
        <v>192</v>
      </c>
      <c r="B11" t="s">
        <v>193</v>
      </c>
      <c r="C11" s="3">
        <v>523.36</v>
      </c>
      <c r="D11" t="s">
        <v>202</v>
      </c>
      <c r="E11" s="3">
        <v>2014</v>
      </c>
      <c r="G11" s="121">
        <f>+C11/1000000000</f>
        <v>5.2336E-7</v>
      </c>
      <c r="H11" s="129">
        <f t="shared" ref="H11:I23" si="4">+G11/1000000</f>
        <v>5.2336E-13</v>
      </c>
      <c r="I11" s="141">
        <f t="shared" si="4"/>
        <v>5.2336000000000002E-19</v>
      </c>
      <c r="J11" s="3">
        <f>12+34.5*2+19*2</f>
        <v>119</v>
      </c>
      <c r="K11" s="3">
        <f t="shared" ref="K11:K22" si="5">1000/29</f>
        <v>34.482758620689658</v>
      </c>
      <c r="L11" s="137">
        <f t="shared" si="0"/>
        <v>2.1475806896551727E-15</v>
      </c>
      <c r="M11" s="131">
        <f t="shared" si="1"/>
        <v>1.9535708908406525E-15</v>
      </c>
      <c r="N11" s="3">
        <v>0.88</v>
      </c>
      <c r="O11" s="3">
        <v>26</v>
      </c>
      <c r="P11" s="136">
        <f t="shared" si="2"/>
        <v>4.4697701982434127E-17</v>
      </c>
      <c r="Q11" s="3">
        <v>1.508</v>
      </c>
      <c r="R11" s="139">
        <f t="shared" si="3"/>
        <v>2.9640385929996106E-17</v>
      </c>
      <c r="S11" t="s">
        <v>198</v>
      </c>
    </row>
    <row r="12" spans="1:19" x14ac:dyDescent="0.25">
      <c r="A12" t="s">
        <v>196</v>
      </c>
      <c r="B12" t="s">
        <v>197</v>
      </c>
      <c r="C12" s="3">
        <v>318</v>
      </c>
      <c r="D12" t="s">
        <v>202</v>
      </c>
      <c r="E12" s="3">
        <v>2016</v>
      </c>
      <c r="G12" s="121">
        <f>+C12/1000000000</f>
        <v>3.1800000000000002E-7</v>
      </c>
      <c r="H12" s="129">
        <f t="shared" si="4"/>
        <v>3.1800000000000001E-13</v>
      </c>
      <c r="I12" s="141">
        <f t="shared" si="4"/>
        <v>3.1800000000000001E-19</v>
      </c>
      <c r="J12" s="3">
        <f>12+34.5+19*3</f>
        <v>103.5</v>
      </c>
      <c r="K12" s="3">
        <f t="shared" si="5"/>
        <v>34.482758620689658</v>
      </c>
      <c r="L12" s="137">
        <f t="shared" si="0"/>
        <v>1.1349310344827588E-15</v>
      </c>
      <c r="M12" s="131">
        <f t="shared" si="1"/>
        <v>1.0324027603513175E-15</v>
      </c>
      <c r="N12" s="3">
        <v>0.88</v>
      </c>
      <c r="O12" s="3">
        <v>26</v>
      </c>
      <c r="P12" s="136">
        <f t="shared" si="2"/>
        <v>2.362137515683814E-17</v>
      </c>
      <c r="Q12" s="3">
        <v>1.508</v>
      </c>
      <c r="R12" s="139">
        <f t="shared" si="3"/>
        <v>1.5664041881192402E-17</v>
      </c>
      <c r="S12" t="s">
        <v>203</v>
      </c>
    </row>
    <row r="13" spans="1:19" ht="18" x14ac:dyDescent="0.35">
      <c r="A13" t="s">
        <v>201</v>
      </c>
      <c r="B13" t="s">
        <v>204</v>
      </c>
      <c r="C13" s="3">
        <v>72.37</v>
      </c>
      <c r="D13" t="s">
        <v>202</v>
      </c>
      <c r="E13" s="3">
        <v>2014</v>
      </c>
      <c r="G13" s="121">
        <f>+C13/1000000000</f>
        <v>7.2370000000000005E-8</v>
      </c>
      <c r="H13" s="129">
        <f t="shared" si="4"/>
        <v>7.2370000000000011E-14</v>
      </c>
      <c r="I13" s="141">
        <f t="shared" si="4"/>
        <v>7.2370000000000017E-20</v>
      </c>
      <c r="J13" s="3">
        <f>12+34.5*2+19+12</f>
        <v>112</v>
      </c>
      <c r="K13" s="3">
        <f t="shared" si="5"/>
        <v>34.482758620689658</v>
      </c>
      <c r="L13" s="137">
        <f t="shared" si="0"/>
        <v>2.7949793103448284E-16</v>
      </c>
      <c r="M13" s="131">
        <f t="shared" si="1"/>
        <v>2.542484316185697E-16</v>
      </c>
      <c r="N13" s="3">
        <v>0.88</v>
      </c>
      <c r="O13" s="3">
        <v>26</v>
      </c>
      <c r="P13" s="136">
        <f t="shared" si="2"/>
        <v>5.8172041154328743E-18</v>
      </c>
      <c r="Q13" s="3">
        <v>1.508</v>
      </c>
      <c r="R13" s="139">
        <f t="shared" si="3"/>
        <v>3.8575624107645058E-18</v>
      </c>
      <c r="S13" t="s">
        <v>198</v>
      </c>
    </row>
    <row r="14" spans="1:19" x14ac:dyDescent="0.25">
      <c r="A14" t="s">
        <v>200</v>
      </c>
      <c r="B14" t="s">
        <v>205</v>
      </c>
      <c r="C14" s="3">
        <v>3</v>
      </c>
      <c r="D14" t="s">
        <v>202</v>
      </c>
      <c r="E14" s="3" t="s">
        <v>209</v>
      </c>
      <c r="G14" s="121">
        <f>+C14/1000000000</f>
        <v>3E-9</v>
      </c>
      <c r="H14" s="129">
        <f t="shared" si="4"/>
        <v>2.9999999999999998E-15</v>
      </c>
      <c r="I14" s="141">
        <f t="shared" si="4"/>
        <v>2.9999999999999999E-21</v>
      </c>
      <c r="J14" s="3">
        <f>12+34.5+19*2+12+19*3</f>
        <v>153.5</v>
      </c>
      <c r="K14" s="3">
        <f t="shared" si="5"/>
        <v>34.482758620689658</v>
      </c>
      <c r="L14" s="137">
        <f t="shared" si="0"/>
        <v>1.5879310344827587E-17</v>
      </c>
      <c r="M14" s="131">
        <f t="shared" si="1"/>
        <v>1.4444792973651193E-17</v>
      </c>
      <c r="N14" s="3">
        <v>0.88</v>
      </c>
      <c r="O14" s="3">
        <v>26</v>
      </c>
      <c r="P14" s="136">
        <f t="shared" si="2"/>
        <v>3.3049686323713931E-19</v>
      </c>
      <c r="Q14" s="3">
        <v>1.508</v>
      </c>
      <c r="R14" s="139">
        <f t="shared" si="3"/>
        <v>2.1916237615194914E-19</v>
      </c>
      <c r="S14" t="s">
        <v>206</v>
      </c>
    </row>
    <row r="15" spans="1:19" x14ac:dyDescent="0.25">
      <c r="A15" t="s">
        <v>207</v>
      </c>
      <c r="B15" t="s">
        <v>205</v>
      </c>
      <c r="C15" s="3">
        <v>3</v>
      </c>
      <c r="D15" t="s">
        <v>202</v>
      </c>
      <c r="E15" s="3" t="s">
        <v>209</v>
      </c>
      <c r="G15" s="121">
        <f>+C15/1000000000</f>
        <v>3E-9</v>
      </c>
      <c r="H15" s="129">
        <f t="shared" si="4"/>
        <v>2.9999999999999998E-15</v>
      </c>
      <c r="I15" s="141">
        <f t="shared" si="4"/>
        <v>2.9999999999999999E-21</v>
      </c>
      <c r="J15" s="3">
        <f>12+34.5+19*2+12+19*3</f>
        <v>153.5</v>
      </c>
      <c r="K15" s="3">
        <f t="shared" si="5"/>
        <v>34.482758620689658</v>
      </c>
      <c r="L15" s="137">
        <f t="shared" si="0"/>
        <v>1.5879310344827587E-17</v>
      </c>
      <c r="M15" s="131">
        <f t="shared" si="1"/>
        <v>1.4444792973651193E-17</v>
      </c>
      <c r="N15" s="3">
        <v>0.88</v>
      </c>
      <c r="O15" s="3">
        <v>26</v>
      </c>
      <c r="P15" s="136">
        <f t="shared" si="2"/>
        <v>3.3049686323713931E-19</v>
      </c>
      <c r="Q15" s="3">
        <v>1.508</v>
      </c>
      <c r="R15" s="139">
        <f t="shared" si="3"/>
        <v>2.1916237615194914E-19</v>
      </c>
      <c r="S15" t="s">
        <v>208</v>
      </c>
    </row>
    <row r="16" spans="1:19" x14ac:dyDescent="0.25">
      <c r="A16" t="s">
        <v>211</v>
      </c>
      <c r="B16" t="s">
        <v>210</v>
      </c>
      <c r="C16" s="3">
        <v>3.3</v>
      </c>
      <c r="D16" t="s">
        <v>202</v>
      </c>
      <c r="E16" s="3">
        <v>2023</v>
      </c>
      <c r="G16" s="121">
        <f>+C16/1000000000</f>
        <v>3.2999999999999998E-9</v>
      </c>
      <c r="H16" s="129">
        <f t="shared" si="4"/>
        <v>3.2999999999999996E-15</v>
      </c>
      <c r="I16" s="141">
        <f t="shared" si="4"/>
        <v>3.2999999999999997E-21</v>
      </c>
      <c r="J16" s="3">
        <f>12+159.8+19*3</f>
        <v>228.8</v>
      </c>
      <c r="K16" s="3">
        <f t="shared" si="5"/>
        <v>34.482758620689658</v>
      </c>
      <c r="L16" s="137">
        <f t="shared" si="0"/>
        <v>2.6035862068965519E-17</v>
      </c>
      <c r="M16" s="131">
        <f t="shared" si="1"/>
        <v>2.3683814303638645E-17</v>
      </c>
      <c r="N16" s="3">
        <v>0.88</v>
      </c>
      <c r="O16" s="3">
        <v>26</v>
      </c>
      <c r="P16" s="136">
        <f t="shared" si="2"/>
        <v>5.4188567126725222E-19</v>
      </c>
      <c r="Q16" s="3">
        <v>1.508</v>
      </c>
      <c r="R16" s="139">
        <f t="shared" si="3"/>
        <v>3.5934063081382773E-19</v>
      </c>
      <c r="S16" t="s">
        <v>212</v>
      </c>
    </row>
    <row r="17" spans="1:19" x14ac:dyDescent="0.25">
      <c r="A17" t="s">
        <v>213</v>
      </c>
      <c r="B17" t="s">
        <v>214</v>
      </c>
      <c r="C17" s="3">
        <v>3</v>
      </c>
      <c r="D17" t="s">
        <v>202</v>
      </c>
      <c r="E17" s="3">
        <v>2023</v>
      </c>
      <c r="G17" s="121">
        <f>+C17/1000000000</f>
        <v>3E-9</v>
      </c>
      <c r="H17" s="129">
        <f t="shared" si="4"/>
        <v>2.9999999999999998E-15</v>
      </c>
      <c r="I17" s="141">
        <f t="shared" si="4"/>
        <v>2.9999999999999999E-21</v>
      </c>
      <c r="J17" s="3">
        <f>12+159.81+34.5+19*2</f>
        <v>244.31</v>
      </c>
      <c r="K17" s="3">
        <f t="shared" si="5"/>
        <v>34.482758620689658</v>
      </c>
      <c r="L17" s="137">
        <f t="shared" si="0"/>
        <v>2.5273448275862071E-17</v>
      </c>
      <c r="M17" s="131">
        <f t="shared" si="1"/>
        <v>2.2990276035131744E-17</v>
      </c>
      <c r="N17" s="3">
        <v>0.88</v>
      </c>
      <c r="O17" s="3">
        <v>26</v>
      </c>
      <c r="P17" s="136">
        <f t="shared" si="2"/>
        <v>5.2601751568381432E-19</v>
      </c>
      <c r="Q17" s="3">
        <v>1.508</v>
      </c>
      <c r="R17" s="139">
        <f t="shared" si="3"/>
        <v>3.4881798122268855E-19</v>
      </c>
      <c r="S17" t="s">
        <v>215</v>
      </c>
    </row>
    <row r="18" spans="1:19" x14ac:dyDescent="0.25">
      <c r="A18" t="s">
        <v>216</v>
      </c>
      <c r="B18" t="s">
        <v>217</v>
      </c>
      <c r="C18" s="3">
        <v>0.4</v>
      </c>
      <c r="D18" t="s">
        <v>202</v>
      </c>
      <c r="E18" s="3">
        <v>2023</v>
      </c>
      <c r="G18" s="121">
        <f>+C18/1000000000</f>
        <v>4.0000000000000001E-10</v>
      </c>
      <c r="H18" s="129">
        <f t="shared" si="4"/>
        <v>3.9999999999999999E-16</v>
      </c>
      <c r="I18" s="141">
        <f t="shared" si="4"/>
        <v>3.9999999999999997E-22</v>
      </c>
      <c r="J18" s="3">
        <f>12+159.81+19*2+12+159.81+19*2</f>
        <v>419.62</v>
      </c>
      <c r="K18" s="3">
        <f t="shared" si="5"/>
        <v>34.482758620689658</v>
      </c>
      <c r="L18" s="137">
        <f t="shared" si="0"/>
        <v>5.7878620689655174E-18</v>
      </c>
      <c r="M18" s="131">
        <f t="shared" si="1"/>
        <v>5.2649937264742785E-18</v>
      </c>
      <c r="N18" s="3">
        <v>0.88</v>
      </c>
      <c r="O18" s="3">
        <v>26</v>
      </c>
      <c r="P18" s="136">
        <f t="shared" si="2"/>
        <v>1.2046305646173149E-19</v>
      </c>
      <c r="Q18" s="3">
        <v>1.508</v>
      </c>
      <c r="R18" s="139">
        <f t="shared" si="3"/>
        <v>7.9882663436161467E-20</v>
      </c>
      <c r="S18" t="s">
        <v>218</v>
      </c>
    </row>
    <row r="19" spans="1:19" x14ac:dyDescent="0.25">
      <c r="A19" t="s">
        <v>302</v>
      </c>
      <c r="B19" t="s">
        <v>199</v>
      </c>
      <c r="C19" s="3">
        <v>84.49</v>
      </c>
      <c r="D19" t="s">
        <v>202</v>
      </c>
      <c r="E19" s="3">
        <v>2014</v>
      </c>
      <c r="G19" s="121">
        <f>+C19/1000000000</f>
        <v>8.4489999999999998E-8</v>
      </c>
      <c r="H19" s="129">
        <f t="shared" si="4"/>
        <v>8.4490000000000001E-14</v>
      </c>
      <c r="I19" s="141">
        <f t="shared" si="4"/>
        <v>8.4490000000000007E-20</v>
      </c>
      <c r="J19" s="3">
        <f>12+34.5*4</f>
        <v>150</v>
      </c>
      <c r="K19" s="3">
        <f t="shared" si="5"/>
        <v>34.482758620689658</v>
      </c>
      <c r="L19" s="137">
        <f t="shared" ref="L19" si="6">+I19*J19*K19</f>
        <v>4.3701724137931043E-16</v>
      </c>
      <c r="M19" s="131">
        <f t="shared" ref="M19" si="7">+L19*(0.725/0.797)</f>
        <v>3.975376411543288E-16</v>
      </c>
      <c r="N19" s="3">
        <v>0.88</v>
      </c>
      <c r="O19" s="3">
        <v>26</v>
      </c>
      <c r="P19" s="136">
        <f t="shared" ref="P19" si="8">+(M19/1000)*N19*O19</f>
        <v>9.0956612296110434E-18</v>
      </c>
      <c r="Q19" s="3">
        <v>1.508</v>
      </c>
      <c r="R19" s="139">
        <f t="shared" ref="R19" si="9">+P19/Q19</f>
        <v>6.0316055899277473E-18</v>
      </c>
      <c r="S19" t="s">
        <v>198</v>
      </c>
    </row>
    <row r="20" spans="1:19" x14ac:dyDescent="0.25">
      <c r="A20" t="s">
        <v>219</v>
      </c>
      <c r="B20" t="s">
        <v>220</v>
      </c>
      <c r="C20" s="3">
        <v>6.6</v>
      </c>
      <c r="D20" t="s">
        <v>202</v>
      </c>
      <c r="E20" s="3">
        <v>2019</v>
      </c>
      <c r="G20" s="121">
        <f>+C20/1000000000</f>
        <v>6.5999999999999995E-9</v>
      </c>
      <c r="H20" s="129">
        <f t="shared" si="4"/>
        <v>6.5999999999999992E-15</v>
      </c>
      <c r="I20" s="141">
        <f t="shared" si="4"/>
        <v>6.5999999999999994E-21</v>
      </c>
      <c r="J20" s="3">
        <f>12+3+159.81</f>
        <v>174.81</v>
      </c>
      <c r="K20" s="3">
        <f t="shared" si="5"/>
        <v>34.482758620689658</v>
      </c>
      <c r="L20" s="137">
        <f t="shared" si="0"/>
        <v>3.9784344827586206E-17</v>
      </c>
      <c r="M20" s="131">
        <f t="shared" si="1"/>
        <v>3.6190276035131739E-17</v>
      </c>
      <c r="N20" s="3">
        <v>0.88</v>
      </c>
      <c r="O20" s="3">
        <v>26</v>
      </c>
      <c r="P20" s="136">
        <f t="shared" si="2"/>
        <v>8.2803351568381422E-19</v>
      </c>
      <c r="Q20" s="3">
        <v>1.508</v>
      </c>
      <c r="R20" s="139">
        <f t="shared" si="3"/>
        <v>5.49093843291654E-19</v>
      </c>
      <c r="S20" t="s">
        <v>221</v>
      </c>
    </row>
    <row r="21" spans="1:19" x14ac:dyDescent="0.25">
      <c r="A21" t="s">
        <v>222</v>
      </c>
      <c r="B21" t="s">
        <v>223</v>
      </c>
      <c r="C21" s="3">
        <v>1</v>
      </c>
      <c r="D21" t="s">
        <v>202</v>
      </c>
      <c r="E21" s="3">
        <v>2023</v>
      </c>
      <c r="G21" s="121">
        <f>+C21/1000000000</f>
        <v>1.0000000000000001E-9</v>
      </c>
      <c r="H21" s="129">
        <f t="shared" si="4"/>
        <v>1.0000000000000001E-15</v>
      </c>
      <c r="I21" s="141">
        <f t="shared" si="4"/>
        <v>1.0000000000000001E-21</v>
      </c>
      <c r="J21" s="3">
        <f>12+3+12+34.5*3</f>
        <v>130.5</v>
      </c>
      <c r="K21" s="3">
        <f t="shared" si="5"/>
        <v>34.482758620689658</v>
      </c>
      <c r="L21" s="137">
        <f t="shared" si="0"/>
        <v>4.5000000000000015E-18</v>
      </c>
      <c r="M21" s="131">
        <f t="shared" si="1"/>
        <v>4.0934755332496877E-18</v>
      </c>
      <c r="N21" s="3">
        <v>0.88</v>
      </c>
      <c r="O21" s="3">
        <v>26</v>
      </c>
      <c r="P21" s="136">
        <f t="shared" si="2"/>
        <v>9.3658720200752841E-20</v>
      </c>
      <c r="Q21" s="3">
        <v>1.508</v>
      </c>
      <c r="R21" s="139">
        <f t="shared" si="3"/>
        <v>6.2107904642409046E-20</v>
      </c>
      <c r="S21" t="s">
        <v>224</v>
      </c>
    </row>
    <row r="22" spans="1:19" x14ac:dyDescent="0.25">
      <c r="A22" t="s">
        <v>225</v>
      </c>
      <c r="B22" t="s">
        <v>226</v>
      </c>
      <c r="C22" s="3">
        <v>238</v>
      </c>
      <c r="D22" t="s">
        <v>227</v>
      </c>
      <c r="E22" t="s">
        <v>228</v>
      </c>
      <c r="G22" s="121">
        <f>+C22/1000000000</f>
        <v>2.3799999999999999E-7</v>
      </c>
      <c r="H22" s="129">
        <f t="shared" si="4"/>
        <v>2.38E-13</v>
      </c>
      <c r="I22" s="141">
        <f t="shared" si="4"/>
        <v>2.38E-19</v>
      </c>
      <c r="J22" s="3">
        <f>12+1+34.5*2+19*2</f>
        <v>120</v>
      </c>
      <c r="K22" s="3">
        <f t="shared" si="5"/>
        <v>34.482758620689658</v>
      </c>
      <c r="L22" s="137">
        <f t="shared" si="0"/>
        <v>9.8482758620689675E-16</v>
      </c>
      <c r="M22" s="131">
        <f t="shared" si="1"/>
        <v>8.9585947302383956E-16</v>
      </c>
      <c r="N22" s="3">
        <v>0.88</v>
      </c>
      <c r="O22" s="3">
        <v>26</v>
      </c>
      <c r="P22" s="136">
        <f t="shared" si="2"/>
        <v>2.0497264742785449E-17</v>
      </c>
      <c r="Q22" s="3">
        <v>1.508</v>
      </c>
      <c r="R22" s="139">
        <f t="shared" si="3"/>
        <v>1.3592350625189289E-17</v>
      </c>
      <c r="S22" t="s">
        <v>229</v>
      </c>
    </row>
    <row r="23" spans="1:19" x14ac:dyDescent="0.25">
      <c r="A23" t="s">
        <v>230</v>
      </c>
      <c r="B23" t="s">
        <v>231</v>
      </c>
      <c r="C23" s="3">
        <v>0.1</v>
      </c>
      <c r="D23" t="s">
        <v>202</v>
      </c>
      <c r="G23" s="121">
        <f>+C23/1000000000</f>
        <v>1E-10</v>
      </c>
      <c r="H23" s="129">
        <f t="shared" si="4"/>
        <v>9.9999999999999998E-17</v>
      </c>
      <c r="I23" s="141">
        <f t="shared" si="4"/>
        <v>9.9999999999999993E-23</v>
      </c>
      <c r="S23" t="s">
        <v>232</v>
      </c>
    </row>
    <row r="24" spans="1:19" x14ac:dyDescent="0.25">
      <c r="A24" t="s">
        <v>233</v>
      </c>
      <c r="B24" t="s">
        <v>234</v>
      </c>
      <c r="C24" s="3" t="s">
        <v>209</v>
      </c>
      <c r="D24" t="s">
        <v>202</v>
      </c>
      <c r="G24" s="3"/>
      <c r="H24" s="3"/>
      <c r="I24" s="142"/>
    </row>
    <row r="25" spans="1:19" x14ac:dyDescent="0.25">
      <c r="A25" t="s">
        <v>303</v>
      </c>
      <c r="B25" t="s">
        <v>308</v>
      </c>
      <c r="C25" s="3" t="s">
        <v>209</v>
      </c>
      <c r="D25" t="s">
        <v>202</v>
      </c>
      <c r="G25" s="3"/>
      <c r="H25" s="3"/>
      <c r="I25" s="143"/>
    </row>
    <row r="26" spans="1:19" x14ac:dyDescent="0.25">
      <c r="A26" t="s">
        <v>304</v>
      </c>
      <c r="B26" t="s">
        <v>309</v>
      </c>
      <c r="C26" s="3" t="s">
        <v>209</v>
      </c>
      <c r="D26" t="s">
        <v>202</v>
      </c>
      <c r="G26" s="3"/>
      <c r="H26" s="3"/>
      <c r="I26" s="143"/>
    </row>
    <row r="27" spans="1:19" x14ac:dyDescent="0.25">
      <c r="A27" t="s">
        <v>305</v>
      </c>
      <c r="B27" t="s">
        <v>310</v>
      </c>
      <c r="C27" s="3" t="s">
        <v>209</v>
      </c>
      <c r="D27" t="s">
        <v>202</v>
      </c>
      <c r="G27" s="3"/>
      <c r="H27" s="3"/>
      <c r="I27" s="143"/>
    </row>
    <row r="28" spans="1:19" x14ac:dyDescent="0.25">
      <c r="A28" t="s">
        <v>306</v>
      </c>
      <c r="B28" t="s">
        <v>311</v>
      </c>
      <c r="C28" s="3" t="s">
        <v>209</v>
      </c>
      <c r="D28" t="s">
        <v>202</v>
      </c>
      <c r="G28" s="3"/>
      <c r="H28" s="3"/>
      <c r="I28" s="143"/>
      <c r="S28" s="118"/>
    </row>
    <row r="29" spans="1:19" x14ac:dyDescent="0.25">
      <c r="A29" s="1" t="s">
        <v>318</v>
      </c>
      <c r="C29" s="3"/>
      <c r="I29" s="143"/>
    </row>
    <row r="30" spans="1:19" x14ac:dyDescent="0.25">
      <c r="A30" t="s">
        <v>235</v>
      </c>
      <c r="B30" t="s">
        <v>237</v>
      </c>
      <c r="C30" s="3">
        <v>30</v>
      </c>
      <c r="D30" t="s">
        <v>202</v>
      </c>
      <c r="E30" s="3">
        <v>2016</v>
      </c>
      <c r="G30" s="121">
        <f>+C30/1000000000</f>
        <v>2.9999999999999997E-8</v>
      </c>
      <c r="H30" s="129">
        <f t="shared" ref="H30:I39" si="10">+G30/1000000</f>
        <v>2.9999999999999998E-14</v>
      </c>
      <c r="I30" s="141">
        <f t="shared" si="10"/>
        <v>2.9999999999999997E-20</v>
      </c>
      <c r="J30" s="3">
        <f>12+1+19*3</f>
        <v>70</v>
      </c>
      <c r="K30" s="3">
        <f t="shared" ref="K30:K39" si="11">1000/29</f>
        <v>34.482758620689658</v>
      </c>
      <c r="L30" s="137">
        <f t="shared" ref="L30:L39" si="12">+I30*J30*K30</f>
        <v>7.2413793103448268E-17</v>
      </c>
      <c r="M30" s="131">
        <f t="shared" ref="M30:M39" si="13">+L30*(0.725/0.797)</f>
        <v>6.5872020075282295E-17</v>
      </c>
      <c r="N30" s="3">
        <v>0.88</v>
      </c>
      <c r="O30" s="3">
        <v>26</v>
      </c>
      <c r="P30" s="136">
        <f t="shared" ref="P30:P39" si="14">+(M30/1000)*N30*O30</f>
        <v>1.507151819322459E-18</v>
      </c>
      <c r="Q30" s="3">
        <v>1.508</v>
      </c>
      <c r="R30" s="139">
        <f t="shared" ref="R30:R39" si="15">+P30/Q30</f>
        <v>9.994375459698004E-19</v>
      </c>
      <c r="S30" t="s">
        <v>236</v>
      </c>
    </row>
    <row r="31" spans="1:19" x14ac:dyDescent="0.25">
      <c r="A31" t="s">
        <v>238</v>
      </c>
      <c r="B31" t="s">
        <v>239</v>
      </c>
      <c r="C31" s="3">
        <v>15</v>
      </c>
      <c r="D31" t="s">
        <v>202</v>
      </c>
      <c r="E31" s="3">
        <v>2016</v>
      </c>
      <c r="G31" s="121">
        <f>+C31/1000000000</f>
        <v>1.4999999999999999E-8</v>
      </c>
      <c r="H31" s="129">
        <f t="shared" si="10"/>
        <v>1.4999999999999999E-14</v>
      </c>
      <c r="I31" s="141">
        <f t="shared" si="10"/>
        <v>1.4999999999999998E-20</v>
      </c>
      <c r="J31" s="3">
        <f>12+2+19*2</f>
        <v>52</v>
      </c>
      <c r="K31" s="3">
        <f t="shared" si="11"/>
        <v>34.482758620689658</v>
      </c>
      <c r="L31" s="137">
        <f t="shared" si="12"/>
        <v>2.6896551724137931E-17</v>
      </c>
      <c r="M31" s="131">
        <f t="shared" si="13"/>
        <v>2.4466750313676284E-17</v>
      </c>
      <c r="N31" s="3">
        <v>0.88</v>
      </c>
      <c r="O31" s="3">
        <v>26</v>
      </c>
      <c r="P31" s="136">
        <f t="shared" si="14"/>
        <v>5.5979924717691332E-19</v>
      </c>
      <c r="Q31" s="3">
        <v>1.508</v>
      </c>
      <c r="R31" s="139">
        <f t="shared" si="15"/>
        <v>3.7121965993164012E-19</v>
      </c>
      <c r="S31" t="s">
        <v>236</v>
      </c>
    </row>
    <row r="32" spans="1:19" x14ac:dyDescent="0.25">
      <c r="A32" t="s">
        <v>240</v>
      </c>
      <c r="B32" t="s">
        <v>243</v>
      </c>
      <c r="C32" s="3">
        <v>21</v>
      </c>
      <c r="D32" t="s">
        <v>202</v>
      </c>
      <c r="E32" s="3">
        <v>2016</v>
      </c>
      <c r="G32" s="121">
        <f>+C32/1000000000</f>
        <v>2.0999999999999999E-8</v>
      </c>
      <c r="H32" s="129">
        <f t="shared" si="10"/>
        <v>2.0999999999999999E-14</v>
      </c>
      <c r="I32" s="141">
        <f t="shared" si="10"/>
        <v>2.0999999999999999E-20</v>
      </c>
      <c r="J32" s="3">
        <f>12+1+19*2+12+19*3</f>
        <v>120</v>
      </c>
      <c r="K32" s="3">
        <f t="shared" si="11"/>
        <v>34.482758620689658</v>
      </c>
      <c r="L32" s="137">
        <f t="shared" si="12"/>
        <v>8.6896551724137929E-17</v>
      </c>
      <c r="M32" s="131">
        <f t="shared" si="13"/>
        <v>7.9046424090338766E-17</v>
      </c>
      <c r="N32" s="3">
        <v>0.88</v>
      </c>
      <c r="O32" s="3">
        <v>26</v>
      </c>
      <c r="P32" s="136">
        <f t="shared" si="14"/>
        <v>1.808582183186951E-18</v>
      </c>
      <c r="Q32" s="3">
        <v>1.508</v>
      </c>
      <c r="R32" s="139">
        <f t="shared" si="15"/>
        <v>1.1993250551637606E-18</v>
      </c>
      <c r="S32" t="s">
        <v>236</v>
      </c>
    </row>
    <row r="33" spans="1:20" x14ac:dyDescent="0.25">
      <c r="A33" t="s">
        <v>241</v>
      </c>
      <c r="B33" t="s">
        <v>242</v>
      </c>
      <c r="C33" s="3">
        <v>90</v>
      </c>
      <c r="D33" t="s">
        <v>202</v>
      </c>
      <c r="E33" s="3">
        <v>2016</v>
      </c>
      <c r="G33" s="121">
        <f>+C33/1000000000</f>
        <v>8.9999999999999999E-8</v>
      </c>
      <c r="H33" s="129">
        <f t="shared" si="10"/>
        <v>8.9999999999999995E-14</v>
      </c>
      <c r="I33" s="141">
        <f t="shared" si="10"/>
        <v>8.9999999999999991E-20</v>
      </c>
      <c r="J33" s="3">
        <f>12+2+19+12+19*3</f>
        <v>102</v>
      </c>
      <c r="K33" s="3">
        <f t="shared" si="11"/>
        <v>34.482758620689658</v>
      </c>
      <c r="L33" s="137">
        <f t="shared" si="12"/>
        <v>3.1655172413793105E-16</v>
      </c>
      <c r="M33" s="131">
        <f t="shared" si="13"/>
        <v>2.8795483061480549E-16</v>
      </c>
      <c r="N33" s="3">
        <v>0.88</v>
      </c>
      <c r="O33" s="3">
        <v>26</v>
      </c>
      <c r="P33" s="136">
        <f t="shared" si="14"/>
        <v>6.5884065244667492E-18</v>
      </c>
      <c r="Q33" s="3">
        <v>1.508</v>
      </c>
      <c r="R33" s="139">
        <f t="shared" si="15"/>
        <v>4.3689698438108413E-18</v>
      </c>
      <c r="S33" t="s">
        <v>236</v>
      </c>
    </row>
    <row r="34" spans="1:20" x14ac:dyDescent="0.25">
      <c r="A34" t="s">
        <v>244</v>
      </c>
      <c r="B34" t="s">
        <v>245</v>
      </c>
      <c r="C34" s="3">
        <v>198</v>
      </c>
      <c r="D34" t="s">
        <v>202</v>
      </c>
      <c r="E34" s="3">
        <v>2016</v>
      </c>
      <c r="G34" s="121">
        <f>+C34/1000000000</f>
        <v>1.98E-7</v>
      </c>
      <c r="H34" s="129">
        <f t="shared" si="10"/>
        <v>1.9799999999999999E-13</v>
      </c>
      <c r="I34" s="141">
        <f t="shared" si="10"/>
        <v>1.98E-19</v>
      </c>
      <c r="J34" s="3">
        <f>12+3+12+19*3</f>
        <v>84</v>
      </c>
      <c r="K34" s="3">
        <f t="shared" si="11"/>
        <v>34.482758620689658</v>
      </c>
      <c r="L34" s="137">
        <f t="shared" si="12"/>
        <v>5.7351724137931038E-16</v>
      </c>
      <c r="M34" s="131">
        <f t="shared" si="13"/>
        <v>5.2170639899623584E-16</v>
      </c>
      <c r="N34" s="3">
        <v>0.88</v>
      </c>
      <c r="O34" s="3">
        <v>26</v>
      </c>
      <c r="P34" s="136">
        <f t="shared" si="14"/>
        <v>1.1936642409033876E-17</v>
      </c>
      <c r="Q34" s="3">
        <v>1.508</v>
      </c>
      <c r="R34" s="139">
        <f t="shared" si="15"/>
        <v>7.91554536408082E-18</v>
      </c>
      <c r="S34" t="s">
        <v>236</v>
      </c>
    </row>
    <row r="35" spans="1:20" x14ac:dyDescent="0.25">
      <c r="A35" t="s">
        <v>246</v>
      </c>
      <c r="B35" t="s">
        <v>247</v>
      </c>
      <c r="C35" s="3">
        <v>6</v>
      </c>
      <c r="D35" t="s">
        <v>202</v>
      </c>
      <c r="E35" s="3">
        <v>2016</v>
      </c>
      <c r="G35" s="121">
        <f>+C35/1000000000</f>
        <v>6E-9</v>
      </c>
      <c r="H35" s="129">
        <f t="shared" si="10"/>
        <v>5.9999999999999997E-15</v>
      </c>
      <c r="I35" s="141">
        <f t="shared" si="10"/>
        <v>5.9999999999999998E-21</v>
      </c>
      <c r="J35" s="3">
        <f>12+3+12+1+19*2</f>
        <v>66</v>
      </c>
      <c r="K35" s="3">
        <f t="shared" si="11"/>
        <v>34.482758620689658</v>
      </c>
      <c r="L35" s="137">
        <f t="shared" si="12"/>
        <v>1.3655172413793105E-17</v>
      </c>
      <c r="M35" s="131">
        <f t="shared" si="13"/>
        <v>1.2421580928481807E-17</v>
      </c>
      <c r="N35" s="3">
        <v>0.88</v>
      </c>
      <c r="O35" s="3">
        <v>26</v>
      </c>
      <c r="P35" s="136">
        <f t="shared" si="14"/>
        <v>2.8420577164366377E-19</v>
      </c>
      <c r="Q35" s="3">
        <v>1.508</v>
      </c>
      <c r="R35" s="139">
        <f t="shared" si="15"/>
        <v>1.8846536581144813E-19</v>
      </c>
      <c r="S35" t="s">
        <v>236</v>
      </c>
    </row>
    <row r="36" spans="1:20" x14ac:dyDescent="0.25">
      <c r="A36" t="s">
        <v>248</v>
      </c>
      <c r="B36" t="s">
        <v>249</v>
      </c>
      <c r="C36" s="3">
        <v>2</v>
      </c>
      <c r="D36" t="s">
        <v>202</v>
      </c>
      <c r="E36" s="3">
        <v>2016</v>
      </c>
      <c r="G36" s="121">
        <f>+C36/1000000000</f>
        <v>2.0000000000000001E-9</v>
      </c>
      <c r="H36" s="129">
        <f t="shared" si="10"/>
        <v>2.0000000000000002E-15</v>
      </c>
      <c r="I36" s="141">
        <f t="shared" si="10"/>
        <v>2.0000000000000002E-21</v>
      </c>
      <c r="J36" s="3">
        <f>12+19*3+12+1+19+12+19*3</f>
        <v>170</v>
      </c>
      <c r="K36" s="3">
        <f t="shared" si="11"/>
        <v>34.482758620689658</v>
      </c>
      <c r="L36" s="137">
        <f t="shared" si="12"/>
        <v>1.1724137931034485E-17</v>
      </c>
      <c r="M36" s="131">
        <f t="shared" si="13"/>
        <v>1.066499372647428E-17</v>
      </c>
      <c r="N36" s="3">
        <v>0.88</v>
      </c>
      <c r="O36" s="3">
        <v>26</v>
      </c>
      <c r="P36" s="136">
        <f t="shared" si="14"/>
        <v>2.4401505646173154E-19</v>
      </c>
      <c r="Q36" s="3">
        <v>1.508</v>
      </c>
      <c r="R36" s="139">
        <f t="shared" si="15"/>
        <v>1.6181369791892012E-19</v>
      </c>
      <c r="S36" t="s">
        <v>236</v>
      </c>
    </row>
    <row r="37" spans="1:20" x14ac:dyDescent="0.25">
      <c r="A37" t="s">
        <v>250</v>
      </c>
      <c r="B37" t="s">
        <v>252</v>
      </c>
      <c r="C37" s="3">
        <v>2</v>
      </c>
      <c r="D37" t="s">
        <v>202</v>
      </c>
      <c r="E37" s="3">
        <v>2016</v>
      </c>
      <c r="G37" s="121">
        <f>+C37/1000000000</f>
        <v>2.0000000000000001E-9</v>
      </c>
      <c r="H37" s="129">
        <f t="shared" si="10"/>
        <v>2.0000000000000002E-15</v>
      </c>
      <c r="I37" s="141">
        <f t="shared" si="10"/>
        <v>2.0000000000000002E-21</v>
      </c>
      <c r="J37" s="3">
        <f>12+19*2+2+12+19*3</f>
        <v>121</v>
      </c>
      <c r="K37" s="3">
        <f t="shared" si="11"/>
        <v>34.482758620689658</v>
      </c>
      <c r="L37" s="137">
        <f t="shared" si="12"/>
        <v>8.3448275862068986E-18</v>
      </c>
      <c r="M37" s="131">
        <f t="shared" si="13"/>
        <v>7.5909661229611055E-18</v>
      </c>
      <c r="N37" s="3">
        <v>0.88</v>
      </c>
      <c r="O37" s="3">
        <v>26</v>
      </c>
      <c r="P37" s="136">
        <f t="shared" si="14"/>
        <v>1.7368130489335011E-19</v>
      </c>
      <c r="Q37" s="3">
        <v>1.508</v>
      </c>
      <c r="R37" s="139">
        <f t="shared" si="15"/>
        <v>1.151732791069961E-19</v>
      </c>
      <c r="S37" t="s">
        <v>236</v>
      </c>
    </row>
    <row r="38" spans="1:20" x14ac:dyDescent="0.25">
      <c r="A38" t="s">
        <v>251</v>
      </c>
      <c r="B38" t="s">
        <v>253</v>
      </c>
      <c r="C38" s="3">
        <v>3</v>
      </c>
      <c r="D38" t="s">
        <v>202</v>
      </c>
      <c r="E38" s="3">
        <v>2016</v>
      </c>
      <c r="G38" s="121">
        <f>+C38/1000000000</f>
        <v>3E-9</v>
      </c>
      <c r="H38" s="129">
        <f t="shared" si="10"/>
        <v>2.9999999999999998E-15</v>
      </c>
      <c r="I38" s="141">
        <f t="shared" si="10"/>
        <v>2.9999999999999999E-21</v>
      </c>
      <c r="J38" s="3">
        <f>12+1+19*2+12+2+12+19*3</f>
        <v>134</v>
      </c>
      <c r="K38" s="3">
        <f t="shared" si="11"/>
        <v>34.482758620689658</v>
      </c>
      <c r="L38" s="137">
        <f t="shared" si="12"/>
        <v>1.3862068965517244E-17</v>
      </c>
      <c r="M38" s="131">
        <f t="shared" si="13"/>
        <v>1.2609786700125471E-17</v>
      </c>
      <c r="N38" s="3">
        <v>0.88</v>
      </c>
      <c r="O38" s="3">
        <v>26</v>
      </c>
      <c r="P38" s="136">
        <f t="shared" si="14"/>
        <v>2.8851191969887079E-19</v>
      </c>
      <c r="Q38" s="3">
        <v>1.508</v>
      </c>
      <c r="R38" s="139">
        <f t="shared" si="15"/>
        <v>1.9132090165707611E-19</v>
      </c>
      <c r="S38" t="s">
        <v>236</v>
      </c>
    </row>
    <row r="39" spans="1:20" x14ac:dyDescent="0.25">
      <c r="A39" t="s">
        <v>254</v>
      </c>
      <c r="B39" t="s">
        <v>255</v>
      </c>
      <c r="C39" s="3">
        <v>2</v>
      </c>
      <c r="D39" t="s">
        <v>202</v>
      </c>
      <c r="E39" s="3">
        <v>2016</v>
      </c>
      <c r="G39" s="121">
        <f>+C39/1000000000</f>
        <v>2.0000000000000001E-9</v>
      </c>
      <c r="H39" s="129">
        <f t="shared" si="10"/>
        <v>2.0000000000000002E-15</v>
      </c>
      <c r="I39" s="141">
        <f t="shared" si="10"/>
        <v>2.0000000000000002E-21</v>
      </c>
      <c r="J39" s="3">
        <f>12+3+12+16*2+12+2+12+19*3</f>
        <v>142</v>
      </c>
      <c r="K39" s="3">
        <f t="shared" si="11"/>
        <v>34.482758620689658</v>
      </c>
      <c r="L39" s="137">
        <f t="shared" si="12"/>
        <v>9.7931034482758647E-18</v>
      </c>
      <c r="M39" s="131">
        <f t="shared" si="13"/>
        <v>8.9084065244667523E-18</v>
      </c>
      <c r="N39" s="3">
        <v>0.88</v>
      </c>
      <c r="O39" s="3">
        <v>26</v>
      </c>
      <c r="P39" s="136">
        <f t="shared" si="14"/>
        <v>2.038243412797993E-19</v>
      </c>
      <c r="Q39" s="3">
        <v>1.508</v>
      </c>
      <c r="R39" s="139">
        <f t="shared" si="15"/>
        <v>1.351620300263921E-19</v>
      </c>
      <c r="S39" t="s">
        <v>236</v>
      </c>
    </row>
    <row r="40" spans="1:20" x14ac:dyDescent="0.25">
      <c r="A40" t="s">
        <v>256</v>
      </c>
      <c r="C40" s="3">
        <v>0</v>
      </c>
      <c r="D40" t="s">
        <v>202</v>
      </c>
      <c r="E40" s="3">
        <v>2016</v>
      </c>
      <c r="G40" s="121">
        <f>+C40/1000000000</f>
        <v>0</v>
      </c>
      <c r="H40" s="121"/>
      <c r="I40" s="142"/>
      <c r="J40" s="3"/>
      <c r="K40" s="3"/>
      <c r="L40" s="130"/>
      <c r="M40" s="132"/>
      <c r="N40" s="3"/>
      <c r="O40" s="3"/>
      <c r="P40" s="138"/>
      <c r="Q40" s="3"/>
      <c r="R40" s="138"/>
      <c r="S40" t="s">
        <v>236</v>
      </c>
    </row>
    <row r="41" spans="1:20" x14ac:dyDescent="0.25">
      <c r="A41" s="1" t="s">
        <v>319</v>
      </c>
      <c r="C41" s="3"/>
      <c r="E41" s="3"/>
      <c r="G41" s="3"/>
      <c r="H41" s="3"/>
      <c r="I41" s="142"/>
      <c r="J41" s="3"/>
      <c r="K41" s="3"/>
      <c r="L41" s="130"/>
      <c r="M41" s="132"/>
      <c r="N41" s="3"/>
      <c r="O41" s="3"/>
      <c r="P41" s="138"/>
      <c r="Q41" s="3"/>
      <c r="R41" s="138"/>
    </row>
    <row r="42" spans="1:20" x14ac:dyDescent="0.25">
      <c r="A42" t="s">
        <v>307</v>
      </c>
      <c r="B42" t="s">
        <v>188</v>
      </c>
      <c r="C42" s="123">
        <v>8.5</v>
      </c>
      <c r="D42" s="76" t="s">
        <v>202</v>
      </c>
      <c r="E42" s="123">
        <v>2017</v>
      </c>
      <c r="G42" s="121">
        <f>+C42/1000000000</f>
        <v>8.5E-9</v>
      </c>
      <c r="H42" s="129">
        <f t="shared" ref="H42:I45" si="16">+G42/1000000</f>
        <v>8.5000000000000001E-15</v>
      </c>
      <c r="I42" s="141">
        <f t="shared" si="16"/>
        <v>8.5000000000000008E-21</v>
      </c>
      <c r="J42" s="123">
        <v>146</v>
      </c>
      <c r="K42" s="3">
        <f t="shared" ref="K42" si="17">1000/29</f>
        <v>34.482758620689658</v>
      </c>
      <c r="L42" s="137">
        <f t="shared" ref="L42" si="18">+I42*J42*K42</f>
        <v>4.2793103448275874E-17</v>
      </c>
      <c r="M42" s="131">
        <f t="shared" ref="M42" si="19">+L42*(0.725/0.797)</f>
        <v>3.8927227101631127E-17</v>
      </c>
      <c r="N42" s="3">
        <v>0.67</v>
      </c>
      <c r="O42" s="3">
        <v>26</v>
      </c>
      <c r="P42" s="136">
        <f t="shared" ref="P42" si="20">+(M42/1000)*N42*O42</f>
        <v>6.7811229611041421E-19</v>
      </c>
      <c r="Q42" s="3">
        <v>1.508</v>
      </c>
      <c r="R42" s="139">
        <f t="shared" ref="R42" si="21">+P42/Q42</f>
        <v>4.4967658893263543E-19</v>
      </c>
      <c r="S42" s="118" t="s">
        <v>325</v>
      </c>
      <c r="T42" s="119"/>
    </row>
    <row r="43" spans="1:20" x14ac:dyDescent="0.25">
      <c r="A43" t="s">
        <v>257</v>
      </c>
      <c r="B43" t="s">
        <v>258</v>
      </c>
      <c r="C43" s="3">
        <v>0.45400000000000001</v>
      </c>
      <c r="D43" t="s">
        <v>202</v>
      </c>
      <c r="E43" s="3">
        <v>2008</v>
      </c>
      <c r="G43" s="121">
        <f>+C43/1000000000</f>
        <v>4.5400000000000003E-10</v>
      </c>
      <c r="H43" s="129">
        <f t="shared" si="16"/>
        <v>4.5400000000000008E-16</v>
      </c>
      <c r="I43" s="141">
        <f t="shared" si="16"/>
        <v>4.5400000000000005E-22</v>
      </c>
      <c r="J43" s="3">
        <f>14+19*3</f>
        <v>71</v>
      </c>
      <c r="K43" s="3"/>
      <c r="L43" s="3"/>
      <c r="M43" s="3"/>
      <c r="N43" s="3"/>
      <c r="O43" s="3"/>
      <c r="P43" s="3"/>
      <c r="Q43" s="3"/>
      <c r="R43" s="128"/>
      <c r="S43" s="118" t="s">
        <v>259</v>
      </c>
    </row>
    <row r="44" spans="1:20" x14ac:dyDescent="0.25">
      <c r="A44" t="s">
        <v>260</v>
      </c>
      <c r="B44" t="s">
        <v>261</v>
      </c>
      <c r="C44" s="3">
        <v>86</v>
      </c>
      <c r="D44" t="s">
        <v>202</v>
      </c>
      <c r="E44" s="3">
        <v>2021</v>
      </c>
      <c r="G44" s="121">
        <f>+C44/1000000000</f>
        <v>8.6000000000000002E-8</v>
      </c>
      <c r="H44" s="129">
        <f t="shared" si="16"/>
        <v>8.6E-14</v>
      </c>
      <c r="I44" s="141">
        <f t="shared" si="16"/>
        <v>8.6000000000000002E-20</v>
      </c>
      <c r="J44" s="3">
        <f>12+19*4</f>
        <v>88</v>
      </c>
      <c r="K44" s="3"/>
      <c r="L44" s="3"/>
      <c r="M44" s="3"/>
      <c r="N44" s="3"/>
      <c r="O44" s="3"/>
      <c r="P44" s="3"/>
      <c r="Q44" s="3"/>
      <c r="R44" s="128"/>
      <c r="S44" t="s">
        <v>262</v>
      </c>
    </row>
    <row r="45" spans="1:20" x14ac:dyDescent="0.25">
      <c r="A45" t="s">
        <v>263</v>
      </c>
      <c r="B45" t="s">
        <v>264</v>
      </c>
      <c r="C45" s="3">
        <v>5.2</v>
      </c>
      <c r="D45" t="s">
        <v>202</v>
      </c>
      <c r="E45" s="3">
        <v>2022</v>
      </c>
      <c r="G45" s="121">
        <f>+C45/1000000000</f>
        <v>5.2000000000000002E-9</v>
      </c>
      <c r="H45" s="129">
        <f t="shared" si="16"/>
        <v>5.2000000000000001E-15</v>
      </c>
      <c r="I45" s="141">
        <f t="shared" si="16"/>
        <v>5.2000000000000003E-21</v>
      </c>
      <c r="J45" s="3">
        <f>12*2+19*6</f>
        <v>138</v>
      </c>
      <c r="K45" s="3"/>
      <c r="L45" s="3"/>
      <c r="M45" s="3"/>
      <c r="N45" s="3"/>
      <c r="O45" s="3"/>
      <c r="P45" s="3"/>
      <c r="Q45" s="3"/>
      <c r="R45" s="3"/>
      <c r="S45" t="s">
        <v>265</v>
      </c>
    </row>
    <row r="46" spans="1:20" x14ac:dyDescent="0.25">
      <c r="C46" s="3"/>
      <c r="E46" s="3"/>
      <c r="G46" s="3"/>
      <c r="H46" s="3"/>
      <c r="I46" s="141"/>
      <c r="J46" s="3"/>
      <c r="K46" s="3"/>
      <c r="L46" s="3"/>
      <c r="M46" s="3"/>
      <c r="N46" s="3"/>
      <c r="O46" s="3"/>
      <c r="P46" s="3"/>
      <c r="Q46" s="3"/>
      <c r="R46" s="3"/>
    </row>
    <row r="47" spans="1:20" x14ac:dyDescent="0.25">
      <c r="A47" t="s">
        <v>266</v>
      </c>
      <c r="B47" t="s">
        <v>312</v>
      </c>
      <c r="C47" s="3">
        <v>1.25</v>
      </c>
      <c r="D47" t="s">
        <v>202</v>
      </c>
      <c r="E47" s="3">
        <v>2009</v>
      </c>
      <c r="G47" s="121">
        <f>+C47/1000000000</f>
        <v>1.25E-9</v>
      </c>
      <c r="H47" s="129">
        <f t="shared" ref="H47:I48" si="22">+G47/1000000</f>
        <v>1.25E-15</v>
      </c>
      <c r="I47" s="141">
        <f t="shared" si="22"/>
        <v>1.2499999999999999E-21</v>
      </c>
      <c r="J47" s="3"/>
      <c r="K47" s="3"/>
      <c r="L47" s="3"/>
      <c r="M47" s="3"/>
      <c r="N47" s="3"/>
      <c r="O47" s="3"/>
      <c r="P47" s="3"/>
      <c r="Q47" s="3"/>
      <c r="R47" s="3"/>
      <c r="S47" t="s">
        <v>267</v>
      </c>
    </row>
    <row r="48" spans="1:20" x14ac:dyDescent="0.25">
      <c r="A48" t="s">
        <v>268</v>
      </c>
      <c r="B48" t="s">
        <v>312</v>
      </c>
      <c r="C48" s="3">
        <v>1.66</v>
      </c>
      <c r="D48" t="s">
        <v>202</v>
      </c>
      <c r="E48" s="3">
        <v>2017</v>
      </c>
      <c r="G48" s="121">
        <f>+C48/1000000000</f>
        <v>1.6599999999999999E-9</v>
      </c>
      <c r="H48" s="129">
        <f t="shared" si="22"/>
        <v>1.6599999999999998E-15</v>
      </c>
      <c r="I48" s="141">
        <f t="shared" si="22"/>
        <v>1.6599999999999997E-21</v>
      </c>
      <c r="J48" s="3"/>
      <c r="K48" s="3"/>
      <c r="L48" s="3"/>
      <c r="M48" s="3"/>
      <c r="N48" s="3"/>
      <c r="O48" s="3"/>
      <c r="P48" s="3"/>
      <c r="Q48" s="3"/>
      <c r="R48" s="3"/>
      <c r="S48" t="s">
        <v>269</v>
      </c>
    </row>
    <row r="49" spans="1:9" x14ac:dyDescent="0.25">
      <c r="A49" t="s">
        <v>270</v>
      </c>
      <c r="B49" t="s">
        <v>312</v>
      </c>
      <c r="C49" s="3" t="s">
        <v>209</v>
      </c>
      <c r="I49" s="143"/>
    </row>
    <row r="50" spans="1:9" x14ac:dyDescent="0.25">
      <c r="A50" t="s">
        <v>271</v>
      </c>
      <c r="B50" t="s">
        <v>312</v>
      </c>
      <c r="C50" s="3" t="s">
        <v>209</v>
      </c>
    </row>
    <row r="51" spans="1:9" x14ac:dyDescent="0.25">
      <c r="A51" t="s">
        <v>272</v>
      </c>
      <c r="B51" t="s">
        <v>312</v>
      </c>
      <c r="C51" s="3" t="s">
        <v>209</v>
      </c>
    </row>
    <row r="52" spans="1:9" x14ac:dyDescent="0.25">
      <c r="A52" t="s">
        <v>273</v>
      </c>
      <c r="B52" t="s">
        <v>312</v>
      </c>
      <c r="C52" s="3" t="s">
        <v>209</v>
      </c>
    </row>
    <row r="53" spans="1:9" x14ac:dyDescent="0.25">
      <c r="A53" t="s">
        <v>274</v>
      </c>
      <c r="C53" s="3">
        <v>0.15</v>
      </c>
      <c r="D53" t="s">
        <v>227</v>
      </c>
    </row>
    <row r="54" spans="1:9" x14ac:dyDescent="0.25">
      <c r="A54" s="1" t="s">
        <v>320</v>
      </c>
    </row>
    <row r="55" spans="1:9" x14ac:dyDescent="0.25">
      <c r="A55" t="s">
        <v>275</v>
      </c>
      <c r="B55" t="s">
        <v>312</v>
      </c>
      <c r="C55" s="3" t="s">
        <v>209</v>
      </c>
    </row>
    <row r="56" spans="1:9" x14ac:dyDescent="0.25">
      <c r="A56" t="s">
        <v>287</v>
      </c>
      <c r="B56" t="s">
        <v>312</v>
      </c>
      <c r="C56" s="3" t="s">
        <v>209</v>
      </c>
    </row>
    <row r="57" spans="1:9" x14ac:dyDescent="0.25">
      <c r="A57" t="s">
        <v>288</v>
      </c>
      <c r="B57" t="s">
        <v>312</v>
      </c>
      <c r="C57" s="3" t="s">
        <v>209</v>
      </c>
    </row>
    <row r="58" spans="1:9" x14ac:dyDescent="0.25">
      <c r="A58" t="s">
        <v>289</v>
      </c>
      <c r="B58" t="s">
        <v>312</v>
      </c>
      <c r="C58" s="3" t="s">
        <v>209</v>
      </c>
    </row>
    <row r="59" spans="1:9" x14ac:dyDescent="0.25">
      <c r="A59" t="s">
        <v>290</v>
      </c>
      <c r="B59" t="s">
        <v>312</v>
      </c>
      <c r="C59" s="3" t="s">
        <v>209</v>
      </c>
    </row>
    <row r="60" spans="1:9" x14ac:dyDescent="0.25">
      <c r="A60" t="s">
        <v>291</v>
      </c>
      <c r="B60" t="s">
        <v>312</v>
      </c>
      <c r="C60" s="3" t="s">
        <v>209</v>
      </c>
    </row>
    <row r="61" spans="1:9" x14ac:dyDescent="0.25">
      <c r="A61" t="s">
        <v>292</v>
      </c>
      <c r="B61" t="s">
        <v>312</v>
      </c>
      <c r="C61" s="3" t="s">
        <v>209</v>
      </c>
    </row>
    <row r="62" spans="1:9" x14ac:dyDescent="0.25">
      <c r="A62" t="s">
        <v>293</v>
      </c>
      <c r="B62" t="s">
        <v>312</v>
      </c>
      <c r="C62" s="3" t="s">
        <v>209</v>
      </c>
    </row>
    <row r="63" spans="1:9" x14ac:dyDescent="0.25">
      <c r="A63" t="s">
        <v>294</v>
      </c>
      <c r="B63" t="s">
        <v>312</v>
      </c>
      <c r="C63" s="3" t="s">
        <v>209</v>
      </c>
    </row>
    <row r="64" spans="1:9" x14ac:dyDescent="0.25">
      <c r="A64" t="s">
        <v>295</v>
      </c>
      <c r="B64" t="s">
        <v>312</v>
      </c>
      <c r="C64" s="3" t="s">
        <v>209</v>
      </c>
    </row>
    <row r="65" spans="1:19" x14ac:dyDescent="0.25">
      <c r="A65" t="s">
        <v>296</v>
      </c>
      <c r="C65" s="3" t="s">
        <v>209</v>
      </c>
    </row>
    <row r="66" spans="1:19" x14ac:dyDescent="0.25">
      <c r="A66" t="s">
        <v>297</v>
      </c>
      <c r="B66" t="s">
        <v>312</v>
      </c>
      <c r="C66" s="3" t="s">
        <v>209</v>
      </c>
    </row>
    <row r="67" spans="1:19" x14ac:dyDescent="0.25">
      <c r="A67" t="s">
        <v>298</v>
      </c>
      <c r="B67" t="s">
        <v>312</v>
      </c>
      <c r="C67" s="3" t="s">
        <v>209</v>
      </c>
    </row>
    <row r="68" spans="1:19" x14ac:dyDescent="0.25">
      <c r="A68" s="1" t="s">
        <v>321</v>
      </c>
    </row>
    <row r="69" spans="1:19" x14ac:dyDescent="0.25">
      <c r="A69" t="s">
        <v>299</v>
      </c>
      <c r="B69" t="s">
        <v>312</v>
      </c>
      <c r="C69" s="3" t="s">
        <v>209</v>
      </c>
    </row>
    <row r="70" spans="1:19" x14ac:dyDescent="0.25">
      <c r="A70" s="1" t="s">
        <v>322</v>
      </c>
    </row>
    <row r="71" spans="1:19" x14ac:dyDescent="0.25">
      <c r="A71" t="s">
        <v>300</v>
      </c>
      <c r="B71" t="s">
        <v>312</v>
      </c>
      <c r="C71" s="3" t="s">
        <v>209</v>
      </c>
    </row>
    <row r="72" spans="1:19" x14ac:dyDescent="0.25">
      <c r="A72" t="s">
        <v>315</v>
      </c>
      <c r="B72" t="s">
        <v>312</v>
      </c>
      <c r="C72" s="3" t="s">
        <v>209</v>
      </c>
    </row>
    <row r="73" spans="1:19" x14ac:dyDescent="0.25">
      <c r="A73" t="s">
        <v>301</v>
      </c>
      <c r="B73" t="s">
        <v>312</v>
      </c>
      <c r="C73" s="3">
        <v>550</v>
      </c>
      <c r="D73" t="s">
        <v>202</v>
      </c>
      <c r="R73" s="4"/>
      <c r="S73" t="s">
        <v>313</v>
      </c>
    </row>
    <row r="75" spans="1:19" ht="17.25" x14ac:dyDescent="0.25">
      <c r="C75" t="s">
        <v>323</v>
      </c>
      <c r="P75" t="s">
        <v>314</v>
      </c>
      <c r="R75" s="133">
        <f>SUM(R6:R74)</f>
        <v>8.3277509109160337E-3</v>
      </c>
      <c r="S75" t="s">
        <v>327</v>
      </c>
    </row>
    <row r="76" spans="1:19" x14ac:dyDescent="0.25">
      <c r="C76" s="3" t="s">
        <v>324</v>
      </c>
    </row>
  </sheetData>
  <hyperlinks>
    <hyperlink ref="S43" r:id="rId1" xr:uid="{137E4CFC-B6E1-4EE2-83A7-3912E0AEB534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2</vt:i4>
      </vt:variant>
      <vt:variant>
        <vt:lpstr>Charts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Sheet 1</vt:lpstr>
      <vt:lpstr>Sheet 2</vt:lpstr>
      <vt:lpstr>T vs Weight WV</vt:lpstr>
      <vt:lpstr>T vs WV </vt:lpstr>
      <vt:lpstr>T vs HumRat</vt:lpstr>
      <vt:lpstr>'Sheet 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Reviewer D</dc:creator>
  <cp:lastModifiedBy>H. Douglas Lightfoot</cp:lastModifiedBy>
  <cp:lastPrinted>2024-05-01T23:33:49Z</cp:lastPrinted>
  <dcterms:created xsi:type="dcterms:W3CDTF">2019-03-16T23:38:42Z</dcterms:created>
  <dcterms:modified xsi:type="dcterms:W3CDTF">2024-06-13T18:59:57Z</dcterms:modified>
</cp:coreProperties>
</file>